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ILLES BALEARS\"/>
    </mc:Choice>
  </mc:AlternateContent>
  <workbookProtection workbookAlgorithmName="SHA-512" workbookHashValue="68DnO4pB2rXgMDvRF/z8pNXZM/nrfoncXe51n+pkCYYO6kKWxnAGUOUyraQUfI8dO50J8ZSleXP0qA/7181XkQ==" workbookSaltValue="FZ5vCYrd9AloD9crvkxsk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BF17" i="8" s="1"/>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F16" i="11"/>
  <c r="AQ16" i="11" s="1"/>
  <c r="EP31" i="8"/>
  <c r="AL14" i="16"/>
  <c r="AJ14" i="16"/>
  <c r="EP31" i="19"/>
  <c r="S14" i="16"/>
  <c r="P14" i="16"/>
  <c r="F13" i="16"/>
  <c r="Z14" i="17"/>
  <c r="R30" i="17"/>
  <c r="K26" i="2"/>
  <c r="N26" i="2"/>
  <c r="M23" i="2"/>
  <c r="K30" i="2"/>
  <c r="F30" i="17"/>
  <c r="F26" i="17"/>
  <c r="F14" i="7"/>
  <c r="T14" i="20"/>
  <c r="BB26" i="13"/>
  <c r="BD9" i="8"/>
  <c r="AH14" i="16"/>
  <c r="AO14" i="2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AJ32" i="20"/>
  <c r="G30" i="14"/>
  <c r="G23" i="14"/>
  <c r="U18" i="11"/>
  <c r="AX32" i="20"/>
  <c r="Y32" i="20"/>
  <c r="L32" i="20"/>
  <c r="AG32" i="20"/>
  <c r="H32" i="20"/>
  <c r="T32" i="21"/>
  <c r="F32" i="20"/>
  <c r="AF32" i="20"/>
  <c r="G26" i="14"/>
  <c r="S32" i="20"/>
  <c r="K32" i="20"/>
  <c r="AQ32" i="21"/>
  <c r="O17" i="11"/>
  <c r="BF16" i="8" l="1"/>
  <c r="T31" i="8"/>
  <c r="U13" i="16"/>
  <c r="P13" i="14"/>
  <c r="R13" i="14" s="1"/>
  <c r="R13" i="17"/>
  <c r="R8" i="9"/>
  <c r="S18" i="16" s="1"/>
  <c r="I13" i="14"/>
  <c r="BG17" i="13"/>
  <c r="BF25" i="11"/>
  <c r="BI28" i="11"/>
  <c r="BJ19" i="11"/>
  <c r="BH18" i="16"/>
  <c r="BH21" i="16"/>
  <c r="S13" i="17"/>
  <c r="S12" i="14"/>
  <c r="V12" i="14" s="1"/>
  <c r="S17" i="14"/>
  <c r="V17" i="14" s="1"/>
  <c r="R10" i="14"/>
  <c r="R17" i="14"/>
  <c r="R29" i="14"/>
  <c r="T21" i="11"/>
  <c r="T29" i="11"/>
  <c r="S9" i="14"/>
  <c r="V9" i="14" s="1"/>
  <c r="T20" i="11"/>
  <c r="X25" i="17"/>
  <c r="AA29" i="16"/>
  <c r="X22" i="17"/>
  <c r="X10" i="17"/>
  <c r="X16" i="17"/>
  <c r="X11" i="17"/>
  <c r="X18" i="20"/>
  <c r="X20" i="20"/>
  <c r="V16" i="16"/>
  <c r="T19" i="20"/>
  <c r="X25" i="16"/>
  <c r="X30" i="16" s="1"/>
  <c r="BJ20" i="11"/>
  <c r="R10" i="21"/>
  <c r="R14" i="21" s="1"/>
  <c r="BH22" i="16"/>
  <c r="BJ11" i="11"/>
  <c r="BH20" i="16"/>
  <c r="AP21" i="20"/>
  <c r="AP10" i="21"/>
  <c r="AZ18" i="11"/>
  <c r="BK11" i="11"/>
  <c r="V12" i="21"/>
  <c r="BL12" i="11"/>
  <c r="BF10" i="11"/>
  <c r="BF17" i="11"/>
  <c r="V25" i="11"/>
  <c r="BF21" i="11"/>
  <c r="V11" i="16"/>
  <c r="BM17" i="11"/>
  <c r="BG10" i="11"/>
  <c r="BJ18" i="11"/>
  <c r="BJ22" i="11"/>
  <c r="BL19" i="11"/>
  <c r="AP17" i="20"/>
  <c r="S10" i="14"/>
  <c r="V10" i="14" s="1"/>
  <c r="S21" i="14"/>
  <c r="V21" i="14" s="1"/>
  <c r="S18" i="14"/>
  <c r="V18" i="14" s="1"/>
  <c r="S28" i="14"/>
  <c r="V28" i="14"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J13" i="10" s="1"/>
  <c r="L13" i="10" s="1"/>
  <c r="F19" i="2"/>
  <c r="F12" i="2"/>
  <c r="BF9" i="8"/>
  <c r="J9" i="7" s="1"/>
  <c r="BE9" i="8"/>
  <c r="I9" i="7" s="1"/>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H16" i="7" s="1"/>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BI20" i="16"/>
  <c r="H25" i="7"/>
  <c r="AN20" i="11"/>
  <c r="I23" i="2"/>
  <c r="J23" i="2" s="1"/>
  <c r="D20" i="6"/>
  <c r="J20" i="12" s="1"/>
  <c r="J20" i="7"/>
  <c r="F29" i="2"/>
  <c r="F20" i="2"/>
  <c r="I14" i="2"/>
  <c r="J14" i="2" s="1"/>
  <c r="AM20" i="11"/>
  <c r="AO12" i="11"/>
  <c r="L18" i="14"/>
  <c r="AN11" i="11"/>
  <c r="AO16" i="17"/>
  <c r="AM22" i="11"/>
  <c r="AO9" i="17"/>
  <c r="E17" i="6"/>
  <c r="K17" i="12" s="1"/>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A32" i="20"/>
  <c r="AN32" i="20"/>
  <c r="AD32" i="20"/>
  <c r="AC32" i="20"/>
  <c r="AV32" i="20"/>
  <c r="O10" i="11"/>
  <c r="AP32" i="20"/>
  <c r="U17" i="11"/>
  <c r="W32" i="21"/>
  <c r="AQ32" i="20"/>
  <c r="I16" i="12" l="1"/>
  <c r="K9" i="12"/>
  <c r="S13" i="14"/>
  <c r="V13" i="14" s="1"/>
  <c r="BH30" i="16"/>
  <c r="BH9" i="16"/>
  <c r="V16" i="11"/>
  <c r="BF13" i="11"/>
  <c r="BG25" i="11"/>
  <c r="BH16" i="16"/>
  <c r="Q18" i="20"/>
  <c r="Q23" i="20" s="1"/>
  <c r="BF28" i="11"/>
  <c r="BF18" i="11"/>
  <c r="BG20" i="11"/>
  <c r="BG22" i="11"/>
  <c r="BK29" i="11"/>
  <c r="AZ19" i="11"/>
  <c r="BK21" i="11"/>
  <c r="V11" i="11"/>
  <c r="BI25" i="11"/>
  <c r="BM12" i="11"/>
  <c r="V13" i="11"/>
  <c r="V9" i="11"/>
  <c r="BI19" i="11"/>
  <c r="BJ16" i="11"/>
  <c r="AP22" i="20"/>
  <c r="AP16" i="20"/>
  <c r="V16" i="20"/>
  <c r="V23" i="20" s="1"/>
  <c r="V19" i="16"/>
  <c r="AA12" i="21"/>
  <c r="X19" i="20"/>
  <c r="T18" i="20"/>
  <c r="X9" i="17"/>
  <c r="AA18" i="16"/>
  <c r="X13" i="17"/>
  <c r="AA17" i="16"/>
  <c r="AA28" i="16"/>
  <c r="T18" i="11"/>
  <c r="S16" i="14"/>
  <c r="V16" i="14" s="1"/>
  <c r="T11" i="11"/>
  <c r="T25" i="11"/>
  <c r="T13" i="11"/>
  <c r="R19" i="14"/>
  <c r="R12" i="14"/>
  <c r="S29" i="14"/>
  <c r="V29" i="14" s="1"/>
  <c r="S19" i="14"/>
  <c r="V19" i="14" s="1"/>
  <c r="BF11" i="11"/>
  <c r="BL9" i="11"/>
  <c r="BF19" i="11"/>
  <c r="BL18" i="11"/>
  <c r="BK12" i="11"/>
  <c r="X12" i="21"/>
  <c r="T9" i="11"/>
  <c r="S20" i="14"/>
  <c r="V20" i="14" s="1"/>
  <c r="BH16" i="11"/>
  <c r="P18" i="17"/>
  <c r="BF29" i="11"/>
  <c r="BK19" i="11"/>
  <c r="AZ29" i="11"/>
  <c r="V18" i="16"/>
  <c r="S9" i="17"/>
  <c r="BG29" i="11"/>
  <c r="BI10" i="11"/>
  <c r="Q10" i="21"/>
  <c r="BM25" i="11"/>
  <c r="BK25" i="11"/>
  <c r="V28" i="11"/>
  <c r="BH20" i="11"/>
  <c r="BI18" i="11"/>
  <c r="BG16" i="11"/>
  <c r="R25" i="14"/>
  <c r="BH13" i="11"/>
  <c r="V20" i="11"/>
  <c r="BL13" i="11"/>
  <c r="BL25" i="11"/>
  <c r="Q25" i="11" s="1"/>
  <c r="BH18" i="11"/>
  <c r="BG19" i="11"/>
  <c r="BM16" i="11"/>
  <c r="AZ9" i="11"/>
  <c r="AO28" i="17"/>
  <c r="BL29" i="11"/>
  <c r="BJ25" i="11"/>
  <c r="T16" i="16"/>
  <c r="AZ16" i="11"/>
  <c r="AZ23" i="11" s="1"/>
  <c r="BW20" i="20"/>
  <c r="BU16" i="17"/>
  <c r="BV19" i="16"/>
  <c r="BW19" i="20"/>
  <c r="BV18" i="16"/>
  <c r="X20" i="16"/>
  <c r="BW18" i="20"/>
  <c r="BU10" i="17"/>
  <c r="BV12" i="16"/>
  <c r="BW25" i="20"/>
  <c r="BW12" i="20"/>
  <c r="BU22" i="17"/>
  <c r="BV16" i="16"/>
  <c r="U13" i="17"/>
  <c r="BW16" i="20"/>
  <c r="BU20" i="17"/>
  <c r="U10" i="17"/>
  <c r="BW29" i="20"/>
  <c r="BV10" i="16"/>
  <c r="BW22" i="20"/>
  <c r="BU18" i="17"/>
  <c r="BV29" i="16"/>
  <c r="V12" i="16"/>
  <c r="BW21" i="20"/>
  <c r="BU12" i="17"/>
  <c r="BV9" i="16"/>
  <c r="S28" i="17"/>
  <c r="AZ17" i="11"/>
  <c r="T16" i="11"/>
  <c r="BG12" i="11"/>
  <c r="Q18" i="17"/>
  <c r="Q23" i="17" s="1"/>
  <c r="Q31" i="17" s="1"/>
  <c r="BI20" i="11"/>
  <c r="BH10" i="11"/>
  <c r="BI9" i="11"/>
  <c r="AQ10" i="21"/>
  <c r="BL28" i="11"/>
  <c r="AO29" i="17"/>
  <c r="BL10" i="11"/>
  <c r="S10" i="17"/>
  <c r="BH10" i="16"/>
  <c r="BI29" i="11"/>
  <c r="BH11" i="11"/>
  <c r="BG17" i="11"/>
  <c r="S18" i="17"/>
  <c r="BM21" i="11"/>
  <c r="BM9" i="11"/>
  <c r="AO25" i="17"/>
  <c r="BH12" i="16"/>
  <c r="BK9" i="11"/>
  <c r="BH28" i="16"/>
  <c r="BH21" i="11"/>
  <c r="BK10" i="11"/>
  <c r="L28" i="2"/>
  <c r="AA11" i="16"/>
  <c r="BH11" i="16"/>
  <c r="BH19" i="16"/>
  <c r="BH19" i="11"/>
  <c r="BH23" i="11" s="1"/>
  <c r="BJ21" i="11"/>
  <c r="BF22" i="11"/>
  <c r="BI16" i="11"/>
  <c r="BM13" i="11"/>
  <c r="P13" i="11" s="1"/>
  <c r="BG9" i="11"/>
  <c r="BL11" i="11"/>
  <c r="R18" i="20"/>
  <c r="R23" i="20" s="1"/>
  <c r="BL21" i="11"/>
  <c r="BK18" i="11"/>
  <c r="T18" i="16"/>
  <c r="AP18" i="20"/>
  <c r="BG21" i="11"/>
  <c r="BU25" i="17"/>
  <c r="BV28" i="16"/>
  <c r="BV13" i="16"/>
  <c r="BW13" i="20"/>
  <c r="BV21" i="16"/>
  <c r="BU29" i="17"/>
  <c r="BV11" i="16"/>
  <c r="BW11" i="20"/>
  <c r="S21" i="17"/>
  <c r="BW28" i="20"/>
  <c r="BU13" i="17"/>
  <c r="S11" i="17"/>
  <c r="BV20" i="16"/>
  <c r="S25" i="17"/>
  <c r="AZ11" i="11"/>
  <c r="P16" i="17"/>
  <c r="P23" i="17" s="1"/>
  <c r="P31" i="17" s="1"/>
  <c r="BF12" i="11"/>
  <c r="BH25" i="16"/>
  <c r="BK20" i="11"/>
  <c r="BJ10" i="11"/>
  <c r="Q16" i="17"/>
  <c r="BF16" i="11"/>
  <c r="BL22" i="11"/>
  <c r="BI22" i="11"/>
  <c r="BJ17" i="11"/>
  <c r="BK22" i="11"/>
  <c r="BK23" i="11" s="1"/>
  <c r="BL17" i="11"/>
  <c r="BH22" i="11"/>
  <c r="L22" i="2"/>
  <c r="X22" i="16"/>
  <c r="S16" i="17"/>
  <c r="S17" i="17"/>
  <c r="L12" i="2"/>
  <c r="X19" i="16"/>
  <c r="X10" i="21"/>
  <c r="L20" i="2"/>
  <c r="U9" i="17"/>
  <c r="U31" i="17" s="1"/>
  <c r="V10" i="16"/>
  <c r="V9" i="16"/>
  <c r="X13" i="16"/>
  <c r="BK13" i="11"/>
  <c r="BM29" i="11"/>
  <c r="Q29" i="11" s="1"/>
  <c r="BK16" i="11"/>
  <c r="V21" i="11"/>
  <c r="BH9" i="11"/>
  <c r="BJ29" i="11"/>
  <c r="BJ12" i="11"/>
  <c r="AZ13" i="11"/>
  <c r="V29" i="11"/>
  <c r="V22" i="11"/>
  <c r="AZ21" i="11"/>
  <c r="BM20" i="11"/>
  <c r="BJ28" i="11"/>
  <c r="BU28" i="17"/>
  <c r="BU11" i="17"/>
  <c r="BW9" i="20"/>
  <c r="BW33" i="20" s="1"/>
  <c r="BU21" i="17"/>
  <c r="BV17" i="16"/>
  <c r="BV23" i="16" s="1"/>
  <c r="BV26" i="16" s="1"/>
  <c r="BV30" i="16" s="1"/>
  <c r="BW17" i="20"/>
  <c r="BV25" i="16"/>
  <c r="X21" i="16"/>
  <c r="BU9" i="17"/>
  <c r="BU19" i="17"/>
  <c r="BW10" i="20"/>
  <c r="BV22" i="16"/>
  <c r="BU17" i="17"/>
  <c r="S22" i="17"/>
  <c r="BF20" i="11"/>
  <c r="S16" i="16"/>
  <c r="S23" i="16" s="1"/>
  <c r="BL20" i="11"/>
  <c r="BL16" i="11"/>
  <c r="AZ25" i="11"/>
  <c r="AZ30" i="11" s="1"/>
  <c r="BK17" i="11"/>
  <c r="BM18" i="11"/>
  <c r="BH17" i="11"/>
  <c r="AQ12" i="21"/>
  <c r="BH25" i="11"/>
  <c r="BI21" i="11"/>
  <c r="L10" i="2"/>
  <c r="X21" i="20"/>
  <c r="L16" i="2"/>
  <c r="L17" i="2"/>
  <c r="L18" i="2"/>
  <c r="X16" i="16"/>
  <c r="X23" i="16" s="1"/>
  <c r="X26" i="16" s="1"/>
  <c r="L9" i="2"/>
  <c r="V25" i="16"/>
  <c r="X12" i="17"/>
  <c r="BF23" i="13"/>
  <c r="BJ23" i="11"/>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P20"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P21" i="11"/>
  <c r="Q21" i="11"/>
  <c r="P9" i="11"/>
  <c r="P29" i="11"/>
  <c r="Q10" i="11"/>
  <c r="D11" i="6"/>
  <c r="J11" i="12" s="1"/>
  <c r="E11" i="3"/>
  <c r="BC26" i="8"/>
  <c r="BF26" i="8" s="1"/>
  <c r="R16" i="14"/>
  <c r="BH17" i="16"/>
  <c r="AO27" i="17"/>
  <c r="AM18" i="11"/>
  <c r="BI17" i="1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O12" i="11"/>
  <c r="H32" i="17"/>
  <c r="E31" i="2" l="1"/>
  <c r="BI23" i="11"/>
  <c r="AQ17" i="11"/>
  <c r="AZ26" i="11"/>
  <c r="AZ31" i="11"/>
  <c r="AZ14"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P32" i="17"/>
  <c r="P32" i="2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I32" i="17"/>
  <c r="AP32" i="17"/>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12" l="1"/>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<sst xmlns="http://schemas.openxmlformats.org/spreadsheetml/2006/main" count="2668" uniqueCount="1193">
  <si>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</si>
  <si>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</si>
  <si>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</si>
  <si>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</si>
  <si>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</si>
  <si>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</si>
  <si>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</si>
  <si>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</si>
  <si>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</si>
  <si>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</si>
  <si>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</si>
  <si>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</si>
  <si>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</si>
  <si>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</si>
  <si>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</si>
  <si>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</si>
  <si>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</si>
  <si>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</si>
  <si>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</si>
  <si>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</si>
  <si>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</si>
  <si>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</si>
  <si>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</si>
  <si>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</si>
  <si>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</si>
  <si>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</si>
  <si>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</si>
  <si>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</si>
  <si>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</si>
  <si>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</si>
  <si>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</si>
  <si>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</si>
  <si>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</si>
  <si>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</si>
  <si>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</si>
  <si>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</si>
  <si>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</si>
  <si>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</si>
  <si>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</si>
  <si>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</si>
  <si>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</si>
  <si>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</si>
  <si>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</si>
  <si>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</si>
  <si>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</si>
  <si>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</si>
  <si>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</si>
  <si>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</si>
  <si>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</si>
  <si>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</si>
  <si>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</si>
  <si>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</si>
  <si>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</si>
  <si>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</si>
  <si>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</si>
  <si>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</si>
  <si>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</si>
  <si>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</si>
  <si>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</si>
  <si>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</si>
  <si>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</si>
  <si>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</si>
  <si>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</si>
  <si>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</si>
  <si>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</si>
  <si>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</si>
  <si>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</si>
  <si>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</si>
  <si>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</si>
  <si>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</si>
  <si>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</si>
  <si>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</si>
  <si>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</si>
  <si>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</si>
  <si>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</si>
  <si>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</si>
  <si>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</si>
  <si>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</si>
  <si>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</si>
  <si>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</si>
  <si>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</si>
  <si>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</si>
  <si>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</si>
  <si>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</si>
  <si>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</si>
  <si>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</si>
  <si>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</si>
  <si>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</si>
  <si>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</si>
  <si>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</si>
  <si>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</si>
  <si>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</si>
  <si>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</si>
  <si>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</si>
  <si>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</si>
  <si>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</si>
  <si>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</si>
  <si>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</si>
  <si>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</si>
  <si>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</si>
  <si>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</si>
  <si>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</si>
  <si>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</si>
  <si>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</si>
  <si>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</si>
  <si>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</si>
  <si>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</si>
  <si>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</si>
  <si>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</si>
  <si>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</si>
  <si>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</si>
  <si>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</si>
  <si>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</si>
  <si>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</si>
  <si>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</si>
  <si>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</si>
  <si>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</si>
  <si>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</si>
  <si>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</si>
  <si>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</si>
  <si>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</si>
  <si>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</si>
  <si>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</si>
  <si>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</si>
  <si>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</si>
  <si>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</si>
  <si>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</si>
  <si>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</si>
  <si>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</si>
  <si>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</si>
  <si>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</si>
  <si>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</si>
  <si>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</si>
  <si>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</si>
  <si>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</si>
  <si>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</si>
  <si>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</si>
  <si>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</si>
  <si>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</si>
  <si>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</si>
  <si>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</si>
  <si>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</si>
  <si>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</si>
  <si>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</si>
  <si>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</si>
  <si>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</si>
  <si>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</si>
  <si>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</si>
  <si>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</si>
  <si>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</si>
  <si>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</si>
  <si>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</si>
  <si>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</si>
  <si>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</si>
  <si>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</si>
  <si>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</si>
  <si>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</si>
  <si>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</si>
  <si>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</si>
  <si>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</si>
  <si>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</si>
  <si>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</si>
  <si>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</si>
  <si>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</si>
  <si>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</si>
  <si>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</si>
  <si>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</si>
  <si>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</si>
  <si>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</si>
  <si>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</si>
  <si>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</si>
  <si>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</si>
  <si>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</si>
  <si>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</si>
  <si>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</si>
  <si>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</si>
  <si>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</si>
  <si>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</si>
  <si>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</si>
  <si>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</si>
  <si>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</si>
  <si>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</si>
  <si>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</si>
  <si>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</si>
  <si>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</si>
  <si>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</si>
  <si>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</si>
  <si>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</si>
  <si>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</si>
  <si>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</si>
  <si>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</si>
  <si>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</si>
  <si>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</si>
  <si>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</si>
  <si>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</si>
  <si>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</si>
  <si>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</si>
  <si>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</si>
  <si>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</si>
  <si>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</si>
  <si>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</si>
  <si>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</si>
  <si>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</si>
  <si>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</si>
  <si>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</si>
  <si>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</si>
  <si>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</si>
  <si>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</si>
  <si>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</si>
  <si>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</si>
  <si>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</si>
  <si>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</si>
  <si>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</si>
  <si>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</si>
  <si>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</si>
  <si>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</si>
  <si>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</si>
  <si>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</si>
  <si>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</si>
  <si>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</si>
  <si>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</si>
  <si>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</si>
  <si>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</si>
  <si>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</si>
  <si>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</si>
  <si>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</si>
  <si>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</si>
  <si>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</si>
  <si>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</si>
  <si>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</si>
  <si>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</si>
  <si>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</si>
  <si>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</si>
  <si>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</si>
  <si>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</si>
  <si>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</si>
  <si>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</si>
  <si>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</si>
  <si>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</si>
  <si>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</si>
  <si>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</si>
  <si>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</si>
  <si>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</si>
  <si>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</si>
  <si>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</si>
  <si>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</si>
  <si>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</si>
  <si>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</si>
  <si>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</si>
  <si>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</si>
  <si>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</si>
  <si>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</si>
  <si>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</si>
  <si>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</si>
  <si>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</si>
  <si>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</si>
  <si>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</si>
  <si>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</si>
  <si>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</si>
  <si>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</si>
  <si>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</si>
  <si>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</si>
  <si>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</si>
  <si>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</si>
  <si>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</si>
  <si>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</si>
  <si>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</si>
  <si>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</si>
  <si>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</si>
  <si>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</si>
  <si>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</si>
  <si>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</si>
  <si>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</si>
  <si>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</si>
  <si>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</si>
  <si>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</si>
  <si>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</si>
  <si>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</si>
  <si>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</si>
  <si>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</si>
  <si>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</si>
  <si>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</si>
  <si>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</si>
  <si>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</si>
  <si>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</si>
  <si>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</si>
  <si>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</si>
  <si>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</si>
  <si>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</si>
  <si>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</si>
  <si>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</si>
  <si>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</si>
  <si>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</si>
  <si>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</si>
  <si>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</si>
  <si>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</si>
  <si>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</si>
  <si>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</si>
  <si>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</si>
  <si>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</si>
  <si>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</si>
  <si>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</si>
  <si>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</si>
  <si>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</si>
  <si>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</si>
  <si>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</si>
  <si>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</si>
  <si>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</si>
  <si>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</si>
  <si>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</si>
  <si>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</si>
  <si>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</si>
  <si>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</si>
  <si>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</si>
  <si>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</si>
  <si>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</si>
  <si>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</si>
  <si>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</si>
  <si>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</si>
  <si>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</si>
  <si>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</si>
  <si>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</si>
  <si>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</si>
  <si>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</si>
  <si>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</si>
  <si>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</si>
  <si>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</si>
  <si>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</si>
  <si>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</si>
  <si>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</si>
  <si>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</si>
  <si>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</si>
  <si>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</si>
  <si>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</si>
  <si>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</si>
  <si>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</si>
  <si>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</si>
  <si>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</si>
  <si>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</si>
  <si>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</si>
  <si>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</si>
  <si>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</si>
  <si>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</si>
  <si>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</si>
  <si>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</si>
  <si>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</si>
  <si>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</si>
  <si>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</si>
  <si>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</si>
  <si>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</si>
  <si>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</si>
  <si>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</si>
  <si>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</si>
  <si>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</si>
  <si>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</si>
  <si>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</si>
  <si>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</si>
  <si>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</si>
  <si>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</si>
  <si>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</si>
  <si>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</si>
  <si>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</si>
  <si>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</si>
  <si>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</si>
  <si>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</si>
  <si>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</si>
  <si>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</si>
  <si>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</si>
  <si>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</si>
  <si>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</si>
  <si>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</si>
  <si>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</si>
  <si>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</si>
  <si>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</si>
  <si>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</si>
  <si>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</si>
  <si>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</si>
  <si>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</si>
  <si>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</si>
  <si>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</si>
  <si>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</si>
  <si>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</si>
  <si>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</si>
  <si>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</si>
  <si>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</si>
  <si>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</si>
  <si>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</si>
  <si>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</si>
  <si>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</si>
  <si>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</si>
  <si>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</si>
  <si>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</si>
  <si>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</si>
  <si>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</si>
  <si>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</si>
  <si>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</si>
  <si>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</si>
  <si>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</si>
  <si>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</si>
  <si>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</si>
  <si>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</si>
  <si>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</si>
  <si>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</si>
  <si>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</si>
  <si>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</si>
  <si>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</si>
  <si>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</si>
  <si>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</si>
  <si>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</si>
  <si>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</si>
  <si>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</si>
  <si>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</si>
  <si>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</si>
  <si>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</si>
  <si>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</si>
  <si>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</si>
  <si>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</si>
  <si>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</si>
  <si>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</si>
  <si>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</si>
  <si>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</si>
  <si>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</si>
  <si>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</si>
  <si>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</si>
  <si>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</si>
  <si>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</si>
  <si>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</si>
  <si>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</si>
  <si>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</si>
  <si>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</si>
  <si>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</si>
  <si>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</si>
  <si>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</si>
  <si>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</si>
  <si>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</si>
  <si>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</si>
  <si>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</si>
  <si>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</si>
  <si>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</si>
  <si>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</si>
  <si>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</si>
  <si>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</si>
  <si>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</si>
  <si>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</si>
  <si>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</si>
  <si>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</si>
  <si>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</si>
  <si>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</si>
  <si>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</si>
  <si>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</si>
  <si>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</si>
  <si>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</si>
  <si>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</si>
  <si>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</si>
  <si>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</si>
  <si>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</si>
  <si>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</si>
  <si>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</si>
  <si>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</si>
  <si>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</si>
  <si>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</si>
  <si>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</si>
  <si>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</si>
  <si>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</si>
  <si>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</si>
  <si>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</si>
  <si>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</si>
  <si>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</si>
  <si>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</si>
  <si>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</si>
  <si>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</si>
  <si>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</si>
  <si>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</si>
  <si>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</si>
  <si>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</si>
  <si>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</si>
  <si>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</si>
  <si>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</si>
  <si>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</si>
  <si>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</si>
  <si>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</si>
  <si>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</si>
  <si>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</si>
  <si>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</si>
  <si>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</si>
  <si>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</si>
  <si>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</si>
  <si>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</si>
  <si>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</si>
  <si>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</si>
  <si>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</si>
  <si>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</si>
  <si>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</si>
  <si>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</si>
  <si>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</si>
  <si>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</si>
  <si>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</si>
  <si>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</si>
  <si>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</si>
  <si>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</si>
  <si>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</si>
  <si>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</si>
  <si>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</si>
  <si>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</si>
  <si>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</si>
  <si>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</si>
  <si>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</si>
  <si>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</si>
  <si>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</si>
  <si>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</si>
  <si>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</si>
  <si>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</si>
  <si>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</si>
  <si>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</si>
  <si>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</si>
  <si>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</si>
  <si>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</si>
  <si>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</si>
  <si>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</si>
  <si>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</si>
  <si>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</si>
  <si>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</si>
  <si>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</si>
  <si>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</si>
  <si>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</si>
  <si>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</si>
  <si>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</si>
  <si>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</si>
  <si>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</si>
  <si>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</si>
  <si>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</si>
  <si>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</si>
  <si>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</si>
  <si>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</si>
  <si>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</si>
  <si>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</si>
  <si>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</si>
  <si>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</si>
  <si>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</si>
  <si>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</si>
  <si>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</si>
  <si>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</si>
  <si>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</si>
  <si>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</si>
  <si>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</si>
  <si>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</si>
  <si>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</si>
  <si>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</si>
  <si>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</si>
  <si>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</si>
  <si>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</si>
  <si>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</si>
  <si>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</si>
  <si>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</si>
  <si>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</si>
  <si>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</si>
  <si>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</si>
  <si>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</si>
  <si>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</si>
  <si>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</si>
  <si>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</si>
  <si>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</si>
  <si>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</si>
  <si>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</si>
  <si>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</si>
  <si>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</si>
  <si>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</si>
  <si>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</si>
  <si>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</si>
  <si>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</si>
  <si>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</si>
  <si>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</si>
  <si>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</si>
  <si>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</si>
  <si>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</si>
  <si>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</si>
  <si>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</si>
  <si>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</si>
  <si>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</si>
  <si>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</si>
  <si>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</si>
  <si>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</si>
  <si>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</si>
  <si>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</si>
  <si>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</si>
  <si>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</si>
  <si>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</si>
  <si>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</si>
  <si>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</si>
  <si>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</si>
  <si>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</si>
  <si>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</si>
  <si>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</si>
  <si>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</si>
  <si>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</si>
  <si>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</si>
  <si>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</si>
  <si>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</si>
  <si>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</si>
  <si>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</si>
  <si>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</si>
  <si>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</si>
  <si>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</si>
  <si>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</si>
  <si>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</si>
  <si>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</si>
  <si>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</si>
  <si>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</si>
  <si>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</si>
  <si>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</si>
  <si>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</si>
  <si>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</si>
  <si>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</si>
  <si>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</si>
  <si>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</si>
  <si>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</si>
  <si>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</si>
  <si>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</si>
  <si>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</si>
  <si>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</si>
  <si>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</si>
  <si>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</si>
  <si>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</si>
  <si>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</si>
  <si>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</si>
  <si>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</si>
  <si>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</si>
  <si>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</si>
  <si>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</si>
  <si>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</si>
  <si>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</si>
  <si>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</si>
  <si>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</si>
  <si>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</si>
  <si>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</si>
  <si>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</si>
  <si>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</si>
  <si>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</si>
  <si>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</si>
  <si>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</si>
  <si>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</si>
  <si>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</si>
  <si>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</si>
  <si>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</si>
  <si>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</si>
  <si>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</si>
  <si>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</si>
  <si>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</si>
  <si>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</si>
  <si>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</si>
  <si>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</si>
  <si>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</si>
  <si>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</si>
  <si>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</si>
  <si>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</si>
  <si>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</si>
  <si>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</si>
  <si>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</si>
  <si>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</si>
  <si>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</si>
  <si>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</si>
  <si>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</si>
  <si>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</si>
  <si>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</si>
  <si>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</si>
  <si>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</si>
  <si>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</si>
  <si>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</si>
  <si>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</si>
  <si>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</si>
  <si>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</si>
  <si>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</si>
  <si>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</si>
  <si>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</si>
  <si>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</si>
  <si>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</si>
  <si>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</si>
  <si>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</si>
  <si>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</si>
  <si>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</si>
  <si>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</si>
  <si>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</si>
  <si>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</si>
  <si>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</si>
  <si>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</si>
  <si>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</si>
  <si>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</si>
  <si>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</si>
  <si>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</si>
  <si>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</si>
  <si>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</si>
  <si>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</si>
  <si>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</si>
  <si>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</si>
  <si>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</si>
  <si>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</si>
  <si>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</si>
  <si>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</si>
  <si>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</si>
  <si>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</si>
  <si>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</si>
  <si>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</si>
  <si>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</si>
  <si>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</si>
  <si>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</si>
  <si>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</si>
  <si>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</si>
  <si>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</si>
  <si>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</si>
  <si>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</si>
  <si>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</si>
  <si>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</si>
  <si>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</si>
  <si>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</si>
  <si>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</si>
  <si>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</si>
  <si>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</si>
  <si>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</si>
  <si>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</si>
  <si>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</si>
  <si>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</si>
  <si>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</si>
  <si>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</si>
  <si>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</si>
  <si>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</si>
  <si>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</si>
  <si>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</si>
  <si>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</si>
  <si>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</si>
  <si>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</si>
  <si>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</si>
  <si>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</si>
  <si>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</si>
  <si>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</si>
  <si>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</si>
  <si>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</si>
  <si>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</si>
  <si>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</si>
  <si>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</si>
  <si>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</si>
  <si>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</si>
  <si>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</si>
  <si>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</si>
  <si>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</si>
  <si>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</si>
  <si>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</si>
  <si>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</si>
  <si>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</si>
  <si>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</si>
  <si>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</si>
  <si>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</si>
  <si>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</si>
  <si>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</si>
  <si>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</si>
  <si>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</si>
  <si>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</si>
  <si>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</si>
  <si>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</si>
  <si>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</si>
  <si>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</si>
  <si>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</si>
  <si>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</si>
  <si>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</si>
  <si>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</si>
  <si>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</si>
  <si>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</si>
  <si>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</si>
  <si>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</si>
  <si>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</si>
  <si>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</si>
  <si>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</si>
  <si>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</si>
  <si>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</si>
  <si>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</si>
  <si>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</si>
  <si>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</si>
  <si>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</si>
  <si>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</si>
  <si>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</si>
  <si>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</si>
  <si>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</si>
  <si>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</si>
  <si>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</si>
  <si>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</si>
  <si>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</si>
  <si>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</si>
  <si>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</si>
  <si>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</si>
  <si>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</si>
  <si>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</si>
  <si>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</si>
  <si>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</si>
  <si>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</si>
  <si>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</si>
  <si>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</si>
  <si>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</si>
  <si>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</si>
  <si>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</si>
  <si>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</si>
  <si>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</si>
  <si>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</si>
  <si>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</si>
  <si>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</si>
  <si>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</si>
  <si>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</si>
  <si>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</si>
  <si>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</si>
  <si>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</si>
  <si>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</si>
  <si>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</si>
  <si>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</si>
  <si>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</si>
  <si>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</si>
  <si>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</si>
  <si>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</si>
  <si>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</si>
  <si>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</si>
  <si>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</si>
  <si>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</si>
  <si>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</si>
  <si>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</si>
  <si>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</si>
  <si>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</si>
  <si>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</si>
  <si>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</si>
  <si>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</si>
  <si>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</si>
  <si>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</si>
  <si>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</si>
  <si>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</si>
  <si>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</si>
  <si>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</si>
  <si>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</si>
  <si>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</si>
  <si>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</si>
  <si>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</si>
  <si>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</si>
  <si>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</si>
  <si>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</si>
  <si>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</si>
  <si>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</si>
  <si>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</si>
  <si>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</si>
  <si>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</si>
  <si>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</si>
  <si>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</si>
  <si>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</si>
  <si>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</si>
  <si>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</si>
  <si>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</si>
  <si>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</si>
  <si>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</si>
  <si>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</si>
  <si>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</si>
  <si>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</si>
  <si>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</si>
  <si>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</si>
  <si>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</si>
  <si>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</si>
  <si>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</si>
  <si>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</si>
  <si>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</si>
  <si>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</si>
  <si>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</si>
  <si>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</si>
  <si>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</si>
  <si>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</si>
  <si>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</si>
  <si>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</si>
  <si>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</si>
  <si>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</si>
  <si>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</si>
  <si>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</si>
  <si>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</si>
  <si>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</si>
  <si>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</si>
  <si>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</si>
  <si>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</si>
  <si>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</si>
  <si>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</si>
  <si>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</si>
  <si>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</si>
  <si>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</si>
  <si>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</si>
  <si>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</si>
  <si>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</si>
  <si>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</si>
  <si>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</si>
  <si>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</si>
  <si>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</si>
  <si>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</si>
  <si>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</si>
  <si>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</si>
  <si>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</si>
  <si>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</si>
  <si>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</si>
  <si>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</si>
  <si>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</si>
  <si>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</si>
  <si>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</si>
  <si>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</si>
  <si>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</si>
  <si>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</si>
  <si>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</si>
  <si>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</si>
  <si>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</si>
  <si>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</si>
  <si>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</si>
  <si>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</si>
  <si>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</si>
  <si>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</si>
  <si>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</si>
  <si>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</si>
  <si>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</si>
  <si>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</si>
  <si>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</si>
  <si>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</si>
  <si>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</si>
  <si>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</si>
  <si>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</si>
  <si>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</si>
  <si>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</si>
  <si>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</si>
  <si>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</si>
  <si>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</si>
  <si>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</si>
  <si>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</si>
  <si>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</si>
  <si>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</si>
  <si>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</si>
  <si>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</si>
  <si>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</si>
  <si>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</si>
  <si>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</si>
  <si>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</si>
  <si>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</si>
  <si>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</si>
  <si>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</si>
  <si>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</si>
  <si>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</si>
  <si>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</si>
  <si>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</si>
  <si>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</si>
  <si>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</si>
  <si>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</si>
  <si>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</si>
  <si>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</si>
  <si>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</si>
  <si>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</si>
  <si>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</si>
  <si>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</si>
  <si>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</si>
  <si>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</si>
  <si>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</si>
  <si>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</si>
  <si>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</si>
  <si>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</si>
  <si>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</si>
  <si>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</si>
  <si>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</si>
  <si>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</si>
  <si>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</si>
  <si>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</si>
  <si>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</si>
  <si>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</si>
  <si>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</si>
  <si>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</si>
  <si>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</si>
  <si>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</si>
  <si>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</si>
  <si>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</si>
  <si>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</si>
  <si>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</si>
  <si>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</si>
  <si>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</si>
  <si>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</si>
  <si>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</si>
  <si>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</si>
  <si>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</si>
  <si>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</si>
  <si>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</si>
  <si>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</si>
  <si>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</si>
  <si>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</si>
  <si>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</si>
  <si>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</si>
  <si>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</si>
  <si>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</si>
  <si>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</si>
  <si>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</si>
  <si>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</si>
  <si>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</si>
  <si>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</si>
  <si>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</si>
  <si>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</si>
  <si>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</si>
  <si>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</si>
  <si>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</si>
  <si>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</si>
  <si>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</si>
  <si>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</si>
  <si>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</si>
  <si>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</si>
  <si>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</si>
  <si>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</si>
  <si>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</si>
  <si>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</si>
  <si>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</si>
  <si>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</si>
  <si>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</si>
  <si>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</si>
  <si>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</si>
  <si>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</si>
  <si>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</si>
  <si>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</si>
  <si>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</si>
  <si>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</si>
  <si>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</si>
  <si>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</si>
  <si>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</si>
  <si>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</si>
  <si>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</si>
  <si>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</si>
  <si>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</si>
  <si>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</si>
  <si>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</si>
  <si>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</si>
  <si>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</si>
  <si>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</si>
  <si>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</si>
  <si>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</si>
  <si>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</si>
  <si>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</si>
  <si>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</si>
  <si>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</si>
  <si>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</si>
  <si>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</si>
  <si>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</si>
  <si>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</si>
  <si>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</si>
  <si>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</si>
  <si>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</si>
  <si>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</si>
  <si>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</si>
  <si>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</si>
  <si>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</si>
  <si>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</si>
  <si>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</si>
  <si>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</si>
  <si>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</si>
  <si>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</si>
  <si>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</si>
  <si>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</si>
  <si>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</si>
  <si>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</si>
  <si>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</si>
  <si>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</si>
  <si>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</si>
  <si>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</si>
  <si>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</si>
  <si>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</si>
  <si>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</si>
  <si>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</si>
  <si>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</si>
  <si>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</si>
  <si>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</si>
  <si>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</si>
  <si>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</si>
  <si>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</si>
  <si>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</si>
  <si>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</si>
  <si>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</si>
  <si>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</si>
  <si>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</si>
  <si>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</si>
  <si>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</si>
  <si>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</si>
  <si>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</si>
  <si>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</si>
  <si>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</si>
  <si>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</si>
  <si>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</si>
  <si>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</si>
  <si>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</si>
  <si>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</si>
  <si>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</si>
  <si>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</si>
  <si>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</si>
  <si>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</si>
  <si>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</si>
  <si>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</si>
  <si>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</si>
  <si>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</si>
  <si>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</si>
  <si>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</si>
  <si>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</si>
  <si>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</si>
  <si>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</si>
  <si>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</si>
  <si>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</si>
  <si>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</si>
  <si>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</si>
  <si>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</si>
  <si>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</si>
  <si>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</si>
  <si>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</si>
  <si>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</si>
  <si>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</si>
  <si>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</si>
  <si>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</si>
  <si>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</si>
  <si>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</si>
  <si>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</si>
  <si>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</si>
  <si>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</si>
  <si>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</si>
  <si>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</si>
  <si>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</si>
  <si>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</si>
  <si>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</si>
  <si>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</si>
  <si>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</si>
  <si>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</si>
  <si>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</si>
  <si>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</si>
  <si>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</si>
  <si>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</si>
  <si>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</si>
  <si>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</si>
  <si>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</si>
  <si>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</si>
  <si>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</si>
  <si>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</si>
  <si>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</si>
  <si>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</si>
  <si>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</si>
  <si>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</si>
  <si>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</si>
  <si>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</si>
  <si>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</si>
  <si>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</si>
  <si>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</si>
  <si>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</si>
  <si>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</si>
  <si>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</si>
  <si>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</si>
  <si>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</si>
  <si>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</si>
  <si>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</si>
  <si>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</si>
  <si>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</si>
  <si>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</si>
  <si>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</si>
  <si>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</si>
  <si>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</si>
  <si>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</si>
  <si>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</si>
  <si>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</si>
  <si>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</si>
  <si>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</si>
  <si>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</si>
  <si>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</si>
  <si>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</si>
  <si>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</si>
  <si>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</si>
  <si>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</si>
  <si>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</si>
  <si>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</si>
  <si>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</si>
  <si>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</si>
  <si>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</si>
  <si>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</si>
  <si>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</si>
  <si>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</si>
  <si>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</si>
  <si>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</si>
  <si>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</si>
  <si>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</si>
  <si>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</si>
  <si>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</si>
  <si>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</si>
  <si>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</si>
  <si>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</si>
  <si>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</si>
  <si>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</si>
  <si>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</si>
  <si>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</si>
  <si>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</si>
  <si>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ISLAS BALEARES</t>
  </si>
  <si>
    <t>Provincias</t>
  </si>
  <si>
    <t>ILLES BALEARS</t>
  </si>
  <si>
    <t>Resumenes por Partidos Judiciales</t>
  </si>
  <si>
    <t>MANACOR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</si>
</sst>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1</v>
      </c>
      <c r="E5" s="418"/>
      <c r="F5" s="3"/>
      <c r="H5" t="s">
        <v>546</v>
      </c>
      <c r="Q5" s="391">
        <v>3</v>
      </c>
      <c r="R5" s="391">
        <v>2</v>
      </c>
      <c r="S5" t="b">
        <f>AND(Q5&gt;=TrimIni,Q5&lt;=TrimFin)</f>
        <v>0</v>
      </c>
    </row>
    <row r="6" spans="1:19" ht="15">
      <c r="A6" s="419"/>
      <c r="B6" s="418"/>
      <c r="C6" s="416" t="s">
        <v>278</v>
      </c>
      <c r="D6" s="417">
        <v>1</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PUgSTtwBO4q/C3WcgE84Vcmdi2zwvXrR4AySK6cXxgQWq5YW34W3SrQ4GWNvpScQzyrpZqWAFV6uBpexxQMogA==" saltValue="GRsIDMc0BCYw3OPBv9gak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ISLAS BALEARES</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1 al 1</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5</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f>IF(ISNUMBER(NºAsuntos!I9/NºAsuntos!G9),(NºAsuntos!I9/NºAsuntos!G9)*11," - ")</f>
        <v>25.65876436781609</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126</v>
      </c>
      <c r="D10" s="239">
        <f>IF(ISNUMBER(Datos!I10),Datos!I10," - ")</f>
        <v>126</v>
      </c>
      <c r="E10" s="240">
        <f>IF(ISNUMBER(Datos!J10),Datos!J10," - ")</f>
        <v>29</v>
      </c>
      <c r="F10" s="240">
        <f>IF(ISNUMBER(Datos!K10),Datos!K10," - ")</f>
        <v>38</v>
      </c>
      <c r="G10" s="1390" t="str">
        <f>IF(Datos!E10&lt;&gt;"",Datos!E10,Datos!D10)</f>
        <v>37</v>
      </c>
      <c r="H10" s="241">
        <f>IF(ISNUMBER(Datos!L10),Datos!L10," - ")</f>
        <v>117</v>
      </c>
      <c r="I10" s="1400" t="str">
        <f>IF(ISNUMBER(Datos!AS10/Datos!BM10),Datos!AS10/Datos!BM10," - ")</f>
        <v xml:space="preserve"> - </v>
      </c>
      <c r="J10" s="1401">
        <f>IF(ISNUMBER(Datos!BY10/Datos!CN10),Datos!BY10/Datos!CN10," - ")</f>
        <v>0</v>
      </c>
      <c r="K10" s="244">
        <f t="shared" ref="K10:K13" si="1">IF(ISNUMBER((E10-F10)/C10),(E10-F10)/C10," - ")</f>
        <v>-7.1428571428571425E-2</v>
      </c>
      <c r="L10" s="1402">
        <f>IF(ISNUMBER(NºAsuntos!I10/NºAsuntos!G10),(NºAsuntos!I10/NºAsuntos!G10)*11," - ")</f>
        <v>33.868421052631582</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0</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t="str">
        <f>IF(ISNUMBER(NºAsuntos!I12/NºAsuntos!G12),(NºAsuntos!I12/NºAsuntos!G12)*11," - ")</f>
        <v xml:space="preserve"> - </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126</v>
      </c>
      <c r="D14" s="1407">
        <f>SUBTOTAL(9,D9:D13)</f>
        <v>126</v>
      </c>
      <c r="E14" s="1408">
        <f>SUBTOTAL(9,E9:E13)</f>
        <v>29</v>
      </c>
      <c r="F14" s="1409">
        <f>SUBTOTAL(9,F9:F13)</f>
        <v>38</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3</v>
      </c>
      <c r="B16" s="1461" t="str">
        <f>Datos!A16</f>
        <v xml:space="preserve">Jdos. Instrucción                               </v>
      </c>
      <c r="C16" s="239">
        <f t="shared" ref="C16:C22" si="2">IF(ISNUMBER(H16-E16+F16),H16-E16+F16," - ")</f>
        <v>1823</v>
      </c>
      <c r="D16" s="239">
        <f>IF(ISNUMBER(IF(D_I="SI",Datos!I16,Datos!I16+Datos!AC16)),IF(D_I="SI",Datos!I16,Datos!I16+Datos!AC16)," - ")</f>
        <v>1815</v>
      </c>
      <c r="E16" s="240">
        <f>IF(ISNUMBER(IF(D_I="SI",Datos!J16,Datos!J16+Datos!AD16)),IF(D_I="SI",Datos!J16,Datos!J16+Datos!AD16)," - ")</f>
        <v>1937</v>
      </c>
      <c r="F16" s="240">
        <f>IF(ISNUMBER(IF(D_I="SI",Datos!K16,Datos!K16+Datos!AE16)),IF(D_I="SI",Datos!K16,Datos!K16+Datos!AE16)," - ")</f>
        <v>2235</v>
      </c>
      <c r="G16" s="1390" t="str">
        <f>IF(Datos!E16&lt;&gt;"",Datos!E16,Datos!D16)</f>
        <v>03</v>
      </c>
      <c r="H16" s="241">
        <f>IF(ISNUMBER(IF(D_I="SI",Datos!L16,Datos!L16+Datos!AF16)),IF(D_I="SI",Datos!L16,Datos!L16+Datos!AF16)," - ")</f>
        <v>1525</v>
      </c>
      <c r="I16" s="1400" t="str">
        <f>IF(ISNUMBER(Datos!AS16/Datos!BM16),Datos!AS16/Datos!BM16," - ")</f>
        <v xml:space="preserve"> - </v>
      </c>
      <c r="J16" s="1401">
        <f>IF(ISNUMBER(Datos!BY16/Datos!CN16),Datos!BY16/Datos!CN16," - ")</f>
        <v>0</v>
      </c>
      <c r="K16" s="244">
        <f t="shared" ref="K16:K22" si="3">IF(ISNUMBER((E16-F16)/C16),(E16-F16)/C16," - ")</f>
        <v>-0.1634668129456939</v>
      </c>
      <c r="L16" s="1402">
        <f>IF(ISNUMBER(NºAsuntos!I16/NºAsuntos!G16),(NºAsuntos!I16/NºAsuntos!G16)*11," - ")</f>
        <v>7.5055928411633106</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0</v>
      </c>
      <c r="B17" s="1461" t="str">
        <f>Datos!A17</f>
        <v xml:space="preserve">Jdos. 1ª Instª. e Instr.                        </v>
      </c>
      <c r="C17" s="239" t="str">
        <f t="shared" si="2"/>
        <v xml:space="preserve"> - </v>
      </c>
      <c r="D17" s="239" t="str">
        <f>IF(ISNUMBER(IF(D_I="SI",Datos!I17,Datos!I17+Datos!AC17)),IF(D_I="SI",Datos!I17,Datos!I17+Datos!AC17)," - ")</f>
        <v xml:space="preserve"> - </v>
      </c>
      <c r="E17" s="240" t="str">
        <f>IF(ISNUMBER(IF(D_I="SI",Datos!J17,Datos!J17+Datos!AD17)),IF(D_I="SI",Datos!J17,Datos!J17+Datos!AD17)," - ")</f>
        <v xml:space="preserve"> - </v>
      </c>
      <c r="F17" s="240" t="str">
        <f>IF(ISNUMBER(IF(D_I="SI",Datos!K17,Datos!K17+Datos!AE17)),IF(D_I="SI",Datos!K17,Datos!K17+Datos!AE17)," - ")</f>
        <v xml:space="preserve"> - </v>
      </c>
      <c r="G17" s="1390" t="str">
        <f>IF(Datos!E17&lt;&gt;"",Datos!E17,Datos!D17)</f>
        <v>04</v>
      </c>
      <c r="H17" s="241" t="str">
        <f>IF(ISNUMBER(IF(D_I="SI",Datos!L17,Datos!L17+Datos!AF17)),IF(D_I="SI",Datos!L17,Datos!L17+Datos!AF17)," - ")</f>
        <v xml:space="preserve"> - </v>
      </c>
      <c r="I17" s="1400" t="str">
        <f>IF(ISNUMBER(Datos!AS17/Datos!BM17),Datos!AS17/Datos!BM17," - ")</f>
        <v xml:space="preserve"> - </v>
      </c>
      <c r="J17" s="1401">
        <f>IF(ISNUMBER(Datos!BY17/Datos!CN17),Datos!BY17/Datos!CN17," - ")</f>
        <v>0</v>
      </c>
      <c r="K17" s="244" t="str">
        <f t="shared" si="3"/>
        <v xml:space="preserve"> - </v>
      </c>
      <c r="L17" s="1402" t="str">
        <f>IF(ISNUMBER(NºAsuntos!I17/NºAsuntos!G17),(NºAsuntos!I17/NºAsuntos!G17)*11," - ")</f>
        <v xml:space="preserve"> - </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323</v>
      </c>
      <c r="D18" s="239">
        <f>IF(ISNUMBER(IF(D_I="SI",Datos!I18,Datos!I18+Datos!AC18)),IF(D_I="SI",Datos!I18,Datos!I18+Datos!AC18)," - ")</f>
        <v>323</v>
      </c>
      <c r="E18" s="240">
        <f>IF(ISNUMBER(IF(D_I="SI",Datos!J18,Datos!J18+Datos!AD18)),IF(D_I="SI",Datos!J18,Datos!J18+Datos!AD18)," - ")</f>
        <v>237</v>
      </c>
      <c r="F18" s="240">
        <f>IF(ISNUMBER(IF(D_I="SI",Datos!K18,Datos!K18+Datos!AE18)),IF(D_I="SI",Datos!K18,Datos!K18+Datos!AE18)," - ")</f>
        <v>225</v>
      </c>
      <c r="G18" s="1390" t="str">
        <f>IF(Datos!E18&lt;&gt;"",Datos!E18,Datos!D18)</f>
        <v>37</v>
      </c>
      <c r="H18" s="241">
        <f>IF(ISNUMBER(IF(D_I="SI",Datos!L18,Datos!L18+Datos!AF18)),IF(D_I="SI",Datos!L18,Datos!L18+Datos!AF18)," - ")</f>
        <v>335</v>
      </c>
      <c r="I18" s="1400" t="str">
        <f>IF(ISNUMBER(Datos!AS18/Datos!BM18),Datos!AS18/Datos!BM18," - ")</f>
        <v xml:space="preserve"> - </v>
      </c>
      <c r="J18" s="1401" t="str">
        <f>IF(ISNUMBER((Datos!BY18+Datos!BZ18)/Datos!CN18),(Datos!BY18+Datos!BZ18)/Datos!CN18," - ")</f>
        <v xml:space="preserve"> - </v>
      </c>
      <c r="K18" s="244">
        <f t="shared" si="3"/>
        <v>3.7151702786377708E-2</v>
      </c>
      <c r="L18" s="1402">
        <f>IF(ISNUMBER(NºAsuntos!I18/NºAsuntos!G18),(NºAsuntos!I18/NºAsuntos!G18)*11," - ")</f>
        <v>16.37777777777778</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2146</v>
      </c>
      <c r="D23" s="1407">
        <f>SUBTOTAL(9,D16:D22)</f>
        <v>2138</v>
      </c>
      <c r="E23" s="1408">
        <f>SUBTOTAL(9,E16:E22)</f>
        <v>2174</v>
      </c>
      <c r="F23" s="1408">
        <f>SUBTOTAL(9,F16:F22)</f>
        <v>2460</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2272</v>
      </c>
      <c r="D31" s="1435">
        <f>SUBTOTAL(9,D9:D30)</f>
        <v>2264</v>
      </c>
      <c r="E31" s="1436">
        <f>SUBTOTAL(9,E9:E30)</f>
        <v>2203</v>
      </c>
      <c r="F31" s="1436">
        <f>SUBTOTAL(9,F9:F30)</f>
        <v>2498</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As8P+EtqNAS1uDVThf7zkRl1rWd+98cv1hXRFJlGgUeuaoGjOVMrAa1gI4e8oZGFCkaXELkylnEOrW+zdodYUw==" saltValue="nTV6HUh9U4ylJ9O76zS5Mw=="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DKVsBXpM6TSoTif9m3KbreXxrFhlbvOzZalLu6wzGIPSU2niHMOuwVUKwu6vIns+LRFu8bc9qkvc6MTRqAdgdw==" saltValue="GihfPZzrqlboLH7mzW5CH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ISLAS BALEARES</v>
      </c>
    </row>
    <row r="4" spans="1:155" ht="13.5" thickBot="1">
      <c r="A4" t="str">
        <f>Criterios!A10</f>
        <v>Provincias</v>
      </c>
      <c r="B4" t="str">
        <f>Criterios!B10</f>
        <v>ILLES BALEARS</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v>2829</v>
      </c>
      <c r="J9" s="194">
        <v>1570</v>
      </c>
      <c r="K9" s="194">
        <v>1278</v>
      </c>
      <c r="L9" s="194">
        <v>3121</v>
      </c>
      <c r="M9" s="194">
        <v>279</v>
      </c>
      <c r="N9" s="194">
        <v>534</v>
      </c>
      <c r="O9" s="194">
        <v>676</v>
      </c>
      <c r="P9" s="194">
        <v>328</v>
      </c>
      <c r="Q9" s="194">
        <v>135</v>
      </c>
      <c r="R9" s="194">
        <v>6523</v>
      </c>
      <c r="S9" s="194">
        <v>2584</v>
      </c>
      <c r="T9" s="194">
        <v>1278</v>
      </c>
      <c r="U9" s="194">
        <v>1295</v>
      </c>
      <c r="V9" s="194">
        <v>2574</v>
      </c>
      <c r="W9" s="194">
        <v>364</v>
      </c>
      <c r="X9" s="201">
        <v>579</v>
      </c>
      <c r="Y9" s="204">
        <v>108</v>
      </c>
      <c r="Z9" s="194">
        <v>132</v>
      </c>
      <c r="AA9" s="194">
        <v>114</v>
      </c>
      <c r="AB9" s="194">
        <v>126</v>
      </c>
      <c r="AC9" s="194">
        <v>0</v>
      </c>
      <c r="AD9" s="194">
        <v>0</v>
      </c>
      <c r="AE9" s="194">
        <v>0</v>
      </c>
      <c r="AF9" s="201">
        <v>0</v>
      </c>
      <c r="AG9" s="204">
        <v>195</v>
      </c>
      <c r="AH9" s="194">
        <v>133</v>
      </c>
      <c r="AI9" s="194">
        <v>138</v>
      </c>
      <c r="AJ9" s="205">
        <v>190</v>
      </c>
      <c r="AK9" s="193">
        <v>0</v>
      </c>
      <c r="AL9" s="194">
        <v>0</v>
      </c>
      <c r="AM9" s="194">
        <v>0</v>
      </c>
      <c r="AN9" s="201">
        <v>0</v>
      </c>
      <c r="AO9" s="282">
        <v>5</v>
      </c>
      <c r="AP9" s="167">
        <v>5</v>
      </c>
      <c r="AQ9" s="167">
        <v>5</v>
      </c>
      <c r="AR9" s="206">
        <v>5</v>
      </c>
      <c r="AS9" s="379" t="s">
        <v>1072</v>
      </c>
      <c r="AT9" s="208"/>
      <c r="AU9" s="207"/>
      <c r="AV9" s="208"/>
      <c r="AW9" s="207"/>
      <c r="AX9" s="208"/>
      <c r="AY9" s="133">
        <f>IF(ISNUMBER(IF(J_V="SI",S9,S9+AG9)),IF(J_V="SI",S9,S9+AG9)," - ")</f>
        <v>2779</v>
      </c>
      <c r="AZ9" s="133">
        <f>IF(ISNUMBER(IF(J_V="SI",T9,T9+AH9)),IF(J_V="SI",T9,T9+AH9)," - ")</f>
        <v>1411</v>
      </c>
      <c r="BA9" s="134">
        <f>IF(ISNUMBER(IF(J_V="SI",U9,U9+AI9)),IF(J_V="SI",U9,U9+AI9)," - ")</f>
        <v>1433</v>
      </c>
      <c r="BB9" s="134">
        <f>IF(ISNUMBER(IF(J_V="SI",V9,V9+AJ9)),IF(J_V="SI",V9,V9+AJ9)," - ")</f>
        <v>2764</v>
      </c>
      <c r="BC9" s="135">
        <f>IF(ISNUMBER(X9),X9," - ")</f>
        <v>579</v>
      </c>
      <c r="BD9" s="136">
        <f>IF(ISNUMBER(BA9/AZ9),BA9/AZ9," - ")</f>
        <v>1.0155917788802269</v>
      </c>
      <c r="BE9" s="137">
        <f>IF(ISNUMBER(BB9/BA9),BB9/BA9, " - ")</f>
        <v>1.9288206559665038</v>
      </c>
      <c r="BF9" s="137">
        <f>IF(ISNUMBER(BC9/BA9),BC9/BA9, " - ")</f>
        <v>0.40404745289602234</v>
      </c>
      <c r="BG9" s="209">
        <f>IF(ISNUMBER((AY9+AZ9)/BA9),(AY9+AZ9)/BA9," - ")</f>
        <v>2.9239357990230288</v>
      </c>
      <c r="BH9" s="167">
        <v>5</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126</v>
      </c>
      <c r="J10" s="194">
        <v>29</v>
      </c>
      <c r="K10" s="194">
        <v>38</v>
      </c>
      <c r="L10" s="194">
        <v>117</v>
      </c>
      <c r="M10" s="194">
        <v>15</v>
      </c>
      <c r="N10" s="194">
        <v>14</v>
      </c>
      <c r="O10" s="194">
        <v>19</v>
      </c>
      <c r="P10" s="194">
        <v>5</v>
      </c>
      <c r="Q10" s="194">
        <v>12</v>
      </c>
      <c r="R10" s="194">
        <v>61</v>
      </c>
      <c r="S10" s="194">
        <v>91</v>
      </c>
      <c r="T10" s="194">
        <v>18</v>
      </c>
      <c r="U10" s="194">
        <v>15</v>
      </c>
      <c r="V10" s="194">
        <v>94</v>
      </c>
      <c r="W10" s="194">
        <v>10</v>
      </c>
      <c r="X10" s="201">
        <v>2</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91</v>
      </c>
      <c r="AZ10" s="139">
        <f t="shared" si="0"/>
        <v>18</v>
      </c>
      <c r="BA10" s="139">
        <f t="shared" si="0"/>
        <v>15</v>
      </c>
      <c r="BB10" s="139">
        <f t="shared" si="0"/>
        <v>94</v>
      </c>
      <c r="BC10" s="135">
        <f t="shared" si="0"/>
        <v>10</v>
      </c>
      <c r="BD10" s="136">
        <f>IF(ISNUMBER(BA10/AZ10),BA10/AZ10," - ")</f>
        <v>0.83333333333333337</v>
      </c>
      <c r="BE10" s="137">
        <f>IF(ISNUMBER(BB10/BA10),BB10/BA10, " - ")</f>
        <v>6.2666666666666666</v>
      </c>
      <c r="BF10" s="137">
        <f>IF(ISNUMBER(BC10/BA10),BC10/BA10, " - ")</f>
        <v>0.66666666666666663</v>
      </c>
      <c r="BG10" s="209">
        <f>IF(ISNUMBER((AY10+AZ10)/BA10),(AY10+AZ10)/BA10," - ")</f>
        <v>7.2666666666666666</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0</v>
      </c>
      <c r="J12" s="196">
        <v>0</v>
      </c>
      <c r="K12" s="196">
        <v>0</v>
      </c>
      <c r="L12" s="196">
        <v>0</v>
      </c>
      <c r="M12" s="196">
        <v>0</v>
      </c>
      <c r="N12" s="196">
        <v>0</v>
      </c>
      <c r="O12" s="194">
        <v>0</v>
      </c>
      <c r="P12" s="196">
        <v>0</v>
      </c>
      <c r="Q12" s="196">
        <v>0</v>
      </c>
      <c r="R12" s="196">
        <v>11</v>
      </c>
      <c r="S12" s="196">
        <v>14</v>
      </c>
      <c r="T12" s="196">
        <v>0</v>
      </c>
      <c r="U12" s="196">
        <v>0</v>
      </c>
      <c r="V12" s="196">
        <v>14</v>
      </c>
      <c r="W12" s="196">
        <v>0</v>
      </c>
      <c r="X12" s="202">
        <v>0</v>
      </c>
      <c r="Y12" s="204">
        <v>0</v>
      </c>
      <c r="Z12" s="194">
        <v>0</v>
      </c>
      <c r="AA12" s="194">
        <v>0</v>
      </c>
      <c r="AB12" s="194">
        <v>0</v>
      </c>
      <c r="AC12" s="196">
        <v>0</v>
      </c>
      <c r="AD12" s="196">
        <v>0</v>
      </c>
      <c r="AE12" s="196">
        <v>0</v>
      </c>
      <c r="AF12" s="202">
        <v>0</v>
      </c>
      <c r="AG12" s="215">
        <v>0</v>
      </c>
      <c r="AH12" s="196">
        <v>0</v>
      </c>
      <c r="AI12" s="196">
        <v>0</v>
      </c>
      <c r="AJ12" s="216">
        <v>0</v>
      </c>
      <c r="AK12" s="195">
        <v>0</v>
      </c>
      <c r="AL12" s="196">
        <v>0</v>
      </c>
      <c r="AM12" s="196">
        <v>0</v>
      </c>
      <c r="AN12" s="202">
        <v>0</v>
      </c>
      <c r="AO12" s="283">
        <v>0</v>
      </c>
      <c r="AP12" s="168">
        <v>0</v>
      </c>
      <c r="AQ12" s="168">
        <v>0</v>
      </c>
      <c r="AR12" s="167">
        <v>0</v>
      </c>
      <c r="AS12" s="381" t="s">
        <v>1075</v>
      </c>
      <c r="AT12" s="216"/>
      <c r="AU12" s="215"/>
      <c r="AV12" s="216"/>
      <c r="AW12" s="215"/>
      <c r="AX12" s="216"/>
      <c r="AY12" s="136">
        <f t="shared" si="1"/>
        <v>14</v>
      </c>
      <c r="AZ12" s="137">
        <f t="shared" si="1"/>
        <v>0</v>
      </c>
      <c r="BA12" s="137">
        <f t="shared" si="1"/>
        <v>0</v>
      </c>
      <c r="BB12" s="137">
        <f t="shared" si="1"/>
        <v>14</v>
      </c>
      <c r="BC12" s="135">
        <f>IF(ISNUMBER(X12),X12," - ")</f>
        <v>0</v>
      </c>
      <c r="BD12" s="136" t="str">
        <f t="shared" si="2"/>
        <v xml:space="preserve"> - </v>
      </c>
      <c r="BE12" s="137" t="str">
        <f t="shared" si="3"/>
        <v xml:space="preserve"> - </v>
      </c>
      <c r="BF12" s="137" t="str">
        <f t="shared" si="4"/>
        <v xml:space="preserve"> - </v>
      </c>
      <c r="BG12" s="209" t="str">
        <f t="shared" si="5"/>
        <v xml:space="preserve"> - </v>
      </c>
      <c r="BH12" s="168">
        <v>0</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2955</v>
      </c>
      <c r="J14" s="197">
        <f t="shared" si="7"/>
        <v>1599</v>
      </c>
      <c r="K14" s="197">
        <f t="shared" si="7"/>
        <v>1316</v>
      </c>
      <c r="L14" s="197">
        <f t="shared" si="7"/>
        <v>3238</v>
      </c>
      <c r="M14" s="197">
        <f t="shared" si="7"/>
        <v>294</v>
      </c>
      <c r="N14" s="197">
        <f t="shared" si="7"/>
        <v>548</v>
      </c>
      <c r="O14" s="197">
        <f t="shared" si="7"/>
        <v>695</v>
      </c>
      <c r="P14" s="197">
        <f t="shared" si="7"/>
        <v>333</v>
      </c>
      <c r="Q14" s="197">
        <f t="shared" si="7"/>
        <v>147</v>
      </c>
      <c r="R14" s="197">
        <f t="shared" si="7"/>
        <v>6595</v>
      </c>
      <c r="S14" s="197">
        <f t="shared" si="7"/>
        <v>2689</v>
      </c>
      <c r="T14" s="197">
        <f t="shared" si="7"/>
        <v>1296</v>
      </c>
      <c r="U14" s="197">
        <f t="shared" si="7"/>
        <v>1310</v>
      </c>
      <c r="V14" s="197">
        <f t="shared" si="7"/>
        <v>2682</v>
      </c>
      <c r="W14" s="197">
        <f t="shared" si="7"/>
        <v>374</v>
      </c>
      <c r="X14" s="197">
        <f t="shared" si="7"/>
        <v>581</v>
      </c>
      <c r="Y14" s="197">
        <f t="shared" si="7"/>
        <v>108</v>
      </c>
      <c r="Z14" s="197">
        <f t="shared" si="7"/>
        <v>132</v>
      </c>
      <c r="AA14" s="197">
        <f t="shared" si="7"/>
        <v>114</v>
      </c>
      <c r="AB14" s="197">
        <f t="shared" si="7"/>
        <v>126</v>
      </c>
      <c r="AC14" s="197">
        <f t="shared" si="7"/>
        <v>0</v>
      </c>
      <c r="AD14" s="197">
        <f t="shared" si="7"/>
        <v>0</v>
      </c>
      <c r="AE14" s="197">
        <f t="shared" si="7"/>
        <v>0</v>
      </c>
      <c r="AF14" s="197">
        <f>SUBTOTAL(9,AF9:AF13)</f>
        <v>0</v>
      </c>
      <c r="AG14" s="197">
        <f t="shared" ref="AG14:AT14" si="8">SUBTOTAL(9,AG8:AG13)</f>
        <v>195</v>
      </c>
      <c r="AH14" s="197">
        <f t="shared" si="8"/>
        <v>133</v>
      </c>
      <c r="AI14" s="197">
        <f t="shared" si="8"/>
        <v>138</v>
      </c>
      <c r="AJ14" s="197">
        <f t="shared" si="8"/>
        <v>190</v>
      </c>
      <c r="AK14" s="197">
        <f t="shared" si="8"/>
        <v>0</v>
      </c>
      <c r="AL14" s="197">
        <f t="shared" si="8"/>
        <v>0</v>
      </c>
      <c r="AM14" s="197">
        <f t="shared" si="8"/>
        <v>0</v>
      </c>
      <c r="AN14" s="197">
        <f t="shared" si="8"/>
        <v>0</v>
      </c>
      <c r="AO14" s="197">
        <f t="shared" si="8"/>
        <v>6</v>
      </c>
      <c r="AP14" s="197">
        <f t="shared" si="8"/>
        <v>5</v>
      </c>
      <c r="AQ14" s="197">
        <f t="shared" si="8"/>
        <v>5</v>
      </c>
      <c r="AR14" s="197">
        <f t="shared" si="8"/>
        <v>5</v>
      </c>
      <c r="AS14" s="197">
        <f t="shared" si="8"/>
        <v>0</v>
      </c>
      <c r="AT14" s="197">
        <f t="shared" si="8"/>
        <v>0</v>
      </c>
      <c r="AU14" s="217"/>
      <c r="AV14" s="142"/>
      <c r="AW14" s="217"/>
      <c r="AX14" s="142"/>
      <c r="AY14" s="197">
        <f>SUBTOTAL(9,AY8:AY13)</f>
        <v>2884</v>
      </c>
      <c r="AZ14" s="197">
        <f>SUBTOTAL(9,AZ8:AZ13)</f>
        <v>1429</v>
      </c>
      <c r="BA14" s="197">
        <f>SUBTOTAL(9,BA8:BA13)</f>
        <v>1448</v>
      </c>
      <c r="BB14" s="197">
        <f>SUBTOTAL(9,BB8:BB13)</f>
        <v>2872</v>
      </c>
      <c r="BC14" s="197">
        <f>SUBTOTAL(9,BC8:BC13)</f>
        <v>589</v>
      </c>
      <c r="BD14" s="219">
        <f>IF(ISNUMBER(BA14/AZ14),BA14/AZ14," - ")</f>
        <v>1.0132960111966409</v>
      </c>
      <c r="BE14" s="220">
        <f>IF(ISNUMBER(BB14/BA14),BB14/BA14, " - ")</f>
        <v>1.9834254143646408</v>
      </c>
      <c r="BF14" s="220">
        <f>IF(ISNUMBER(BC14/BA14),BC14/BA14, " - ")</f>
        <v>0.40676795580110497</v>
      </c>
      <c r="BG14" s="221">
        <f>IF(ISNUMBER((AY14+AZ14)/BA14),(AY14+AZ14)/BA14," - ")</f>
        <v>2.9785911602209945</v>
      </c>
      <c r="BH14" s="153">
        <f>SUBTOTAL(9,BH8:BH13)</f>
        <v>6</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v>1815</v>
      </c>
      <c r="J16" s="196">
        <v>1937</v>
      </c>
      <c r="K16" s="196">
        <v>2235</v>
      </c>
      <c r="L16" s="196">
        <v>1525</v>
      </c>
      <c r="M16" s="196">
        <v>129</v>
      </c>
      <c r="N16" s="196">
        <v>1438</v>
      </c>
      <c r="O16" s="194">
        <v>49</v>
      </c>
      <c r="P16" s="196">
        <v>32</v>
      </c>
      <c r="Q16" s="196">
        <v>56</v>
      </c>
      <c r="R16" s="196">
        <v>241</v>
      </c>
      <c r="S16" s="196">
        <v>2269</v>
      </c>
      <c r="T16" s="196">
        <v>1448</v>
      </c>
      <c r="U16" s="196">
        <v>1456</v>
      </c>
      <c r="V16" s="196">
        <v>2271</v>
      </c>
      <c r="W16" s="196">
        <v>146</v>
      </c>
      <c r="X16" s="202">
        <v>901</v>
      </c>
      <c r="Y16" s="215">
        <v>0</v>
      </c>
      <c r="Z16" s="196">
        <v>0</v>
      </c>
      <c r="AA16" s="196">
        <v>0</v>
      </c>
      <c r="AB16" s="196">
        <v>0</v>
      </c>
      <c r="AC16" s="196">
        <v>4</v>
      </c>
      <c r="AD16" s="196">
        <v>2</v>
      </c>
      <c r="AE16" s="196">
        <v>3</v>
      </c>
      <c r="AF16" s="202">
        <v>3</v>
      </c>
      <c r="AG16" s="215">
        <v>0</v>
      </c>
      <c r="AH16" s="196">
        <v>0</v>
      </c>
      <c r="AI16" s="196">
        <v>0</v>
      </c>
      <c r="AJ16" s="216">
        <v>0</v>
      </c>
      <c r="AK16" s="195">
        <v>0</v>
      </c>
      <c r="AL16" s="196">
        <v>1</v>
      </c>
      <c r="AM16" s="196">
        <v>1</v>
      </c>
      <c r="AN16" s="202">
        <v>0</v>
      </c>
      <c r="AO16" s="283">
        <v>3</v>
      </c>
      <c r="AP16" s="168">
        <v>3</v>
      </c>
      <c r="AQ16" s="168">
        <v>3</v>
      </c>
      <c r="AR16" s="168">
        <v>3</v>
      </c>
      <c r="AS16" s="381" t="s">
        <v>702</v>
      </c>
      <c r="AT16" s="216" t="s">
        <v>424</v>
      </c>
      <c r="AU16" s="215"/>
      <c r="AV16" s="216"/>
      <c r="AW16" s="215"/>
      <c r="AX16" s="216"/>
      <c r="AY16" s="138">
        <f t="shared" ref="AY16:BB17" si="10">IF(ISNUMBER(IF(D_I="SI",S16,S16+AK16)),IF(D_I="SI",S16,S16+AK16)," - ")</f>
        <v>2269</v>
      </c>
      <c r="AZ16" s="139">
        <f t="shared" si="10"/>
        <v>1448</v>
      </c>
      <c r="BA16" s="139">
        <f t="shared" si="10"/>
        <v>1456</v>
      </c>
      <c r="BB16" s="139">
        <f t="shared" si="10"/>
        <v>2271</v>
      </c>
      <c r="BC16" s="135">
        <f>IF(ISNUMBER(W16),W16," - ")</f>
        <v>146</v>
      </c>
      <c r="BD16" s="136">
        <f>IF(ISNUMBER(BA16/AZ16),BA16/AZ16," - ")</f>
        <v>1.0055248618784531</v>
      </c>
      <c r="BE16" s="137">
        <f>IF(ISNUMBER(BB16/BA16),BB16/BA16, " - ")</f>
        <v>1.5597527472527473</v>
      </c>
      <c r="BF16" s="137">
        <f>IF(ISNUMBER(BC16/BA16),BC16/BA16, " - ")</f>
        <v>0.10027472527472528</v>
      </c>
      <c r="BG16" s="209">
        <f t="shared" ref="BG16:BG22" si="11">IF(ISNUMBER((AY16+AZ16)/BA16),(AY16+AZ16)/BA16," - ")</f>
        <v>2.5528846153846154</v>
      </c>
      <c r="BH16" s="168">
        <v>3</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t="s">
        <v>651</v>
      </c>
      <c r="J17" s="196" t="s">
        <v>647</v>
      </c>
      <c r="K17" s="196" t="s">
        <v>648</v>
      </c>
      <c r="L17" s="196" t="s">
        <v>649</v>
      </c>
      <c r="M17" s="196" t="s">
        <v>654</v>
      </c>
      <c r="N17" s="196" t="s">
        <v>200</v>
      </c>
      <c r="O17" s="194" t="s">
        <v>287</v>
      </c>
      <c r="P17" s="196" t="s">
        <v>633</v>
      </c>
      <c r="Q17" s="196" t="s">
        <v>634</v>
      </c>
      <c r="R17" s="196" t="s">
        <v>635</v>
      </c>
      <c r="S17" s="196"/>
      <c r="T17" s="196"/>
      <c r="U17" s="196"/>
      <c r="V17" s="196"/>
      <c r="W17" s="196"/>
      <c r="X17" s="202"/>
      <c r="Y17" s="215"/>
      <c r="Z17" s="196"/>
      <c r="AA17" s="196"/>
      <c r="AB17" s="196"/>
      <c r="AC17" s="196" t="s">
        <v>66</v>
      </c>
      <c r="AD17" s="196" t="s">
        <v>75</v>
      </c>
      <c r="AE17" s="196" t="s">
        <v>76</v>
      </c>
      <c r="AF17" s="202" t="s">
        <v>77</v>
      </c>
      <c r="AG17" s="215"/>
      <c r="AH17" s="196"/>
      <c r="AI17" s="196"/>
      <c r="AJ17" s="216"/>
      <c r="AK17" s="195"/>
      <c r="AL17" s="196"/>
      <c r="AM17" s="196"/>
      <c r="AN17" s="202"/>
      <c r="AO17" s="283">
        <v>0</v>
      </c>
      <c r="AP17" s="168">
        <v>0</v>
      </c>
      <c r="AQ17" s="168">
        <v>0</v>
      </c>
      <c r="AR17" s="168">
        <v>0</v>
      </c>
      <c r="AS17" s="381" t="s">
        <v>650</v>
      </c>
      <c r="AT17" s="216"/>
      <c r="AU17" s="215"/>
      <c r="AV17" s="216"/>
      <c r="AW17" s="215"/>
      <c r="AX17" s="216"/>
      <c r="AY17" s="136" t="str">
        <f t="shared" si="10"/>
        <v xml:space="preserve"> - </v>
      </c>
      <c r="AZ17" s="137" t="str">
        <f t="shared" si="10"/>
        <v xml:space="preserve"> - </v>
      </c>
      <c r="BA17" s="137" t="str">
        <f t="shared" si="10"/>
        <v xml:space="preserve"> - </v>
      </c>
      <c r="BB17" s="137" t="str">
        <f t="shared" si="10"/>
        <v xml:space="preserve"> - </v>
      </c>
      <c r="BC17" s="135" t="str">
        <f>IF(ISNUMBER(W17),W17," - ")</f>
        <v xml:space="preserve"> - </v>
      </c>
      <c r="BD17" s="136" t="str">
        <f t="shared" ref="BD17:BD22" si="12">IF(ISNUMBER(BA17/AZ17),BA17/AZ17," - ")</f>
        <v xml:space="preserve"> - </v>
      </c>
      <c r="BE17" s="137" t="str">
        <f t="shared" ref="BE17:BE22" si="13">IF(ISNUMBER(BB17/BA17),BB17/BA17, " - ")</f>
        <v xml:space="preserve"> - </v>
      </c>
      <c r="BF17" s="137" t="str">
        <f t="shared" ref="BF17:BF22" si="14">IF(ISNUMBER(BC17/BA17),BC17/BA17, " - ")</f>
        <v xml:space="preserve"> - </v>
      </c>
      <c r="BG17" s="209" t="str">
        <f t="shared" si="11"/>
        <v xml:space="preserve"> - </v>
      </c>
      <c r="BH17" s="168">
        <v>0</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323</v>
      </c>
      <c r="J18" s="196">
        <v>237</v>
      </c>
      <c r="K18" s="196">
        <v>225</v>
      </c>
      <c r="L18" s="196">
        <v>335</v>
      </c>
      <c r="M18" s="196">
        <v>39</v>
      </c>
      <c r="N18" s="196">
        <v>168</v>
      </c>
      <c r="O18" s="196">
        <v>11</v>
      </c>
      <c r="P18" s="196">
        <v>4</v>
      </c>
      <c r="Q18" s="196">
        <v>11</v>
      </c>
      <c r="R18" s="196">
        <v>25</v>
      </c>
      <c r="S18" s="196">
        <v>348</v>
      </c>
      <c r="T18" s="196">
        <v>211</v>
      </c>
      <c r="U18" s="196">
        <v>181</v>
      </c>
      <c r="V18" s="196">
        <v>378</v>
      </c>
      <c r="W18" s="196">
        <v>34</v>
      </c>
      <c r="X18" s="202">
        <v>139</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348</v>
      </c>
      <c r="AZ18" s="139">
        <f t="shared" si="15"/>
        <v>211</v>
      </c>
      <c r="BA18" s="139">
        <f t="shared" si="15"/>
        <v>181</v>
      </c>
      <c r="BB18" s="139">
        <f t="shared" si="15"/>
        <v>378</v>
      </c>
      <c r="BC18" s="135">
        <f>IF(ISNUMBER(W18),W18," - ")</f>
        <v>34</v>
      </c>
      <c r="BD18" s="136">
        <f>IF(ISNUMBER(BA18/AZ18),BA18/AZ18," - ")</f>
        <v>0.85781990521327012</v>
      </c>
      <c r="BE18" s="137">
        <f>IF(ISNUMBER(BB18/BA18),BB18/BA18, " - ")</f>
        <v>2.0883977900552488</v>
      </c>
      <c r="BF18" s="137">
        <f>IF(ISNUMBER(BC18/BA18),BC18/BA18, " - ")</f>
        <v>0.18784530386740331</v>
      </c>
      <c r="BG18" s="209">
        <f>IF(ISNUMBER((AY18+AZ18)/BA18),(AY18+AZ18)/BA18," - ")</f>
        <v>3.0883977900552488</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2138</v>
      </c>
      <c r="J23" s="197">
        <f t="shared" si="21"/>
        <v>2174</v>
      </c>
      <c r="K23" s="197">
        <f t="shared" si="21"/>
        <v>2460</v>
      </c>
      <c r="L23" s="197">
        <f t="shared" si="21"/>
        <v>1860</v>
      </c>
      <c r="M23" s="197">
        <f t="shared" si="21"/>
        <v>168</v>
      </c>
      <c r="N23" s="197">
        <f t="shared" si="21"/>
        <v>1606</v>
      </c>
      <c r="O23" s="197">
        <f t="shared" si="21"/>
        <v>60</v>
      </c>
      <c r="P23" s="197">
        <f t="shared" si="21"/>
        <v>36</v>
      </c>
      <c r="Q23" s="197">
        <f t="shared" si="21"/>
        <v>67</v>
      </c>
      <c r="R23" s="197">
        <f t="shared" si="21"/>
        <v>266</v>
      </c>
      <c r="S23" s="197">
        <f t="shared" si="21"/>
        <v>2617</v>
      </c>
      <c r="T23" s="197">
        <f t="shared" si="21"/>
        <v>1659</v>
      </c>
      <c r="U23" s="197">
        <f t="shared" si="21"/>
        <v>1637</v>
      </c>
      <c r="V23" s="197">
        <f t="shared" si="21"/>
        <v>2649</v>
      </c>
      <c r="W23" s="197">
        <f t="shared" si="21"/>
        <v>180</v>
      </c>
      <c r="X23" s="197">
        <f t="shared" si="21"/>
        <v>1040</v>
      </c>
      <c r="Y23" s="197">
        <f t="shared" si="21"/>
        <v>0</v>
      </c>
      <c r="Z23" s="197">
        <f t="shared" si="21"/>
        <v>0</v>
      </c>
      <c r="AA23" s="197">
        <f t="shared" si="21"/>
        <v>0</v>
      </c>
      <c r="AB23" s="197">
        <f t="shared" si="21"/>
        <v>0</v>
      </c>
      <c r="AC23" s="197">
        <f t="shared" si="21"/>
        <v>4</v>
      </c>
      <c r="AD23" s="197">
        <f t="shared" si="21"/>
        <v>2</v>
      </c>
      <c r="AE23" s="197">
        <f t="shared" si="21"/>
        <v>3</v>
      </c>
      <c r="AF23" s="197">
        <f t="shared" si="21"/>
        <v>3</v>
      </c>
      <c r="AG23" s="197">
        <f t="shared" si="21"/>
        <v>0</v>
      </c>
      <c r="AH23" s="197">
        <f t="shared" si="21"/>
        <v>0</v>
      </c>
      <c r="AI23" s="197">
        <f t="shared" si="21"/>
        <v>0</v>
      </c>
      <c r="AJ23" s="197">
        <f t="shared" si="21"/>
        <v>0</v>
      </c>
      <c r="AK23" s="197">
        <f t="shared" si="21"/>
        <v>0</v>
      </c>
      <c r="AL23" s="197">
        <f t="shared" si="21"/>
        <v>1</v>
      </c>
      <c r="AM23" s="197">
        <f t="shared" si="21"/>
        <v>1</v>
      </c>
      <c r="AN23" s="197">
        <f t="shared" si="21"/>
        <v>0</v>
      </c>
      <c r="AO23" s="197">
        <f t="shared" si="21"/>
        <v>4</v>
      </c>
      <c r="AP23" s="197">
        <f t="shared" si="21"/>
        <v>3</v>
      </c>
      <c r="AQ23" s="197">
        <f t="shared" si="21"/>
        <v>3</v>
      </c>
      <c r="AR23" s="197">
        <f t="shared" si="21"/>
        <v>3</v>
      </c>
      <c r="AS23" s="197">
        <f t="shared" si="21"/>
        <v>0</v>
      </c>
      <c r="AT23" s="197">
        <f t="shared" si="21"/>
        <v>0</v>
      </c>
      <c r="AU23" s="217"/>
      <c r="AV23" s="142"/>
      <c r="AW23" s="217"/>
      <c r="AX23" s="142"/>
      <c r="AY23" s="197">
        <f>SUBTOTAL(9,AY15:AY22)</f>
        <v>2617</v>
      </c>
      <c r="AZ23" s="197">
        <f>SUBTOTAL(9,AZ15:AZ22)</f>
        <v>1659</v>
      </c>
      <c r="BA23" s="197">
        <f>SUBTOTAL(9,BA15:BA22)</f>
        <v>1637</v>
      </c>
      <c r="BB23" s="197">
        <f>SUBTOTAL(9,BB15:BB22)</f>
        <v>2649</v>
      </c>
      <c r="BC23" s="197">
        <f>SUBTOTAL(9,BC15:BC22)</f>
        <v>180</v>
      </c>
      <c r="BD23" s="219">
        <f>IF(ISNUMBER(BA23/AZ23),BA23/AZ23," - ")</f>
        <v>0.9867389993972272</v>
      </c>
      <c r="BE23" s="220">
        <f>IF(ISNUMBER(BB23/BA23),BB23/BA23, " - ")</f>
        <v>1.6182040317654245</v>
      </c>
      <c r="BF23" s="220">
        <f>IF(ISNUMBER(BC23/BA23),BC23/BA23, " - ")</f>
        <v>0.10995723885155773</v>
      </c>
      <c r="BG23" s="221">
        <f>IF(ISNUMBER((AY23+AZ23)/BA23),(AY23+AZ23)/BA23," - ")</f>
        <v>2.6120952962736714</v>
      </c>
      <c r="BH23" s="197">
        <f>SUBTOTAL(9,BH15:BH22)</f>
        <v>4</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5093</v>
      </c>
      <c r="J31" s="144">
        <f t="shared" si="36"/>
        <v>3773</v>
      </c>
      <c r="K31" s="144">
        <f t="shared" si="36"/>
        <v>3776</v>
      </c>
      <c r="L31" s="144">
        <f t="shared" si="36"/>
        <v>5098</v>
      </c>
      <c r="M31" s="144">
        <f t="shared" si="36"/>
        <v>462</v>
      </c>
      <c r="N31" s="144">
        <f t="shared" si="36"/>
        <v>2154</v>
      </c>
      <c r="O31" s="144">
        <f t="shared" si="36"/>
        <v>755</v>
      </c>
      <c r="P31" s="144">
        <f t="shared" si="36"/>
        <v>369</v>
      </c>
      <c r="Q31" s="144">
        <f t="shared" si="36"/>
        <v>214</v>
      </c>
      <c r="R31" s="144">
        <f t="shared" si="36"/>
        <v>6861</v>
      </c>
      <c r="S31" s="144">
        <f t="shared" si="36"/>
        <v>5306</v>
      </c>
      <c r="T31" s="144">
        <f t="shared" si="36"/>
        <v>2955</v>
      </c>
      <c r="U31" s="144">
        <f t="shared" si="36"/>
        <v>2947</v>
      </c>
      <c r="V31" s="144">
        <f t="shared" si="36"/>
        <v>5331</v>
      </c>
      <c r="W31" s="144">
        <f t="shared" si="36"/>
        <v>554</v>
      </c>
      <c r="X31" s="144">
        <f t="shared" si="36"/>
        <v>1621</v>
      </c>
      <c r="Y31" s="144">
        <f t="shared" si="36"/>
        <v>108</v>
      </c>
      <c r="Z31" s="144">
        <f t="shared" si="36"/>
        <v>132</v>
      </c>
      <c r="AA31" s="144">
        <f t="shared" si="36"/>
        <v>114</v>
      </c>
      <c r="AB31" s="144">
        <f t="shared" si="36"/>
        <v>126</v>
      </c>
      <c r="AC31" s="144">
        <f t="shared" si="36"/>
        <v>4</v>
      </c>
      <c r="AD31" s="144">
        <f t="shared" si="36"/>
        <v>2</v>
      </c>
      <c r="AE31" s="144">
        <f t="shared" si="36"/>
        <v>3</v>
      </c>
      <c r="AF31" s="144">
        <f t="shared" si="36"/>
        <v>3</v>
      </c>
      <c r="AG31" s="144">
        <f t="shared" si="36"/>
        <v>195</v>
      </c>
      <c r="AH31" s="144">
        <f t="shared" si="36"/>
        <v>133</v>
      </c>
      <c r="AI31" s="144">
        <f t="shared" si="36"/>
        <v>138</v>
      </c>
      <c r="AJ31" s="144">
        <f t="shared" si="36"/>
        <v>190</v>
      </c>
      <c r="AK31" s="144">
        <f t="shared" si="36"/>
        <v>0</v>
      </c>
      <c r="AL31" s="144">
        <f t="shared" si="36"/>
        <v>1</v>
      </c>
      <c r="AM31" s="144">
        <f t="shared" si="36"/>
        <v>1</v>
      </c>
      <c r="AN31" s="224">
        <f t="shared" si="36"/>
        <v>0</v>
      </c>
      <c r="AO31" s="225">
        <v>9</v>
      </c>
      <c r="AP31" s="225">
        <v>8</v>
      </c>
      <c r="AQ31" s="225">
        <v>8</v>
      </c>
      <c r="AR31" s="225">
        <v>8</v>
      </c>
      <c r="AS31" s="166">
        <f t="shared" si="36"/>
        <v>0</v>
      </c>
      <c r="AT31" s="166">
        <f t="shared" si="36"/>
        <v>0</v>
      </c>
      <c r="AU31" s="225"/>
      <c r="AV31" s="226"/>
      <c r="AW31" s="225"/>
      <c r="AX31" s="226"/>
      <c r="AY31" s="143">
        <f>SUBTOTAL(9,AY9:AY30)</f>
        <v>5501</v>
      </c>
      <c r="AZ31" s="144">
        <f>SUBTOTAL(9,AZ9:AZ30)</f>
        <v>3088</v>
      </c>
      <c r="BA31" s="144">
        <f>SUBTOTAL(9,BA9:BA30)</f>
        <v>3085</v>
      </c>
      <c r="BB31" s="144">
        <f>SUBTOTAL(9,BB9:BB30)</f>
        <v>5521</v>
      </c>
      <c r="BC31" s="145">
        <f>SUBTOTAL(9,BC9:BC30)</f>
        <v>769</v>
      </c>
      <c r="BD31" s="227">
        <f>IF(ISNUMBER(BA31/AZ31),BA31/AZ31," - ")</f>
        <v>0.99902849740932642</v>
      </c>
      <c r="BE31" s="224">
        <f>IF(ISNUMBER(BB31/BA31),BB31/BA31, " - ")</f>
        <v>1.7896272285251216</v>
      </c>
      <c r="BF31" s="224">
        <f>IF(ISNUMBER(BC31/BA31),BC31/BA31, " - ")</f>
        <v>0.24927066450567262</v>
      </c>
      <c r="BG31" s="145">
        <f>IF(ISNUMBER((AY31+AZ31)/BA31),(AY31+AZ31)/BA31," - ")</f>
        <v>2.7841166936790924</v>
      </c>
      <c r="BH31" s="225">
        <f>SUBTOTAL(9,BH9:BH30)</f>
        <v>10</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Wf4Sm4DutnJr/gROLeymI0XHkm+ZT3X40nPVIfVUbvN/PPVviWy/N5Hf8n3QSOnFQxmMdh1JKPippmnBiyC6IQ==" saltValue="/fU2scp/OyUWi8JV2S8b4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ISLAS BALEARES</v>
      </c>
    </row>
    <row r="4" spans="1:155" ht="13.5" thickBot="1">
      <c r="A4" t="str">
        <f>Criterios!A10</f>
        <v>Provincias</v>
      </c>
      <c r="B4" t="str">
        <f>Criterios!B10</f>
        <v>ILLES BALEARS</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8AZyeNVVzI87x+eTCLr/Vb5pzUlMLSZmoAhg2Lgkfd/MLv05tgiC8mRA/RA+Ub11+MfcjSvzxI8PgENEhblSfg==" saltValue="kocsM3uWE0lCGI1PfKiBd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ISLAS BALEARES</v>
      </c>
      <c r="F1" s="578"/>
    </row>
    <row r="2" spans="1:74" ht="16.5" customHeight="1">
      <c r="C2" s="567" t="str">
        <f>Criterios!A10 &amp;"  "&amp;Criterios!B10 &amp; "  " &amp; IF(NOT(ISBLANK(Criterios!A11)),Criterios!A11 &amp;"  "&amp;Criterios!B11,"")</f>
        <v>Provincias  ILLES BALEARS  Resumenes por Partidos Judiciales  MANACOR</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5</v>
      </c>
      <c r="B9" s="745" t="s">
        <v>321</v>
      </c>
      <c r="C9" s="765" t="str">
        <f>Datos!A9</f>
        <v xml:space="preserve">Jdos. 1ª Instancia   </v>
      </c>
      <c r="D9" s="593"/>
      <c r="E9" s="764">
        <f>IF(ISNUMBER(Datos!AQ9),Datos!AQ9," - ")</f>
        <v>5</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f>IF(ISNUMBER(Datos!Z9),Datos!Z9," - ")</f>
        <v>132</v>
      </c>
      <c r="O9" s="549"/>
      <c r="P9" s="549"/>
      <c r="Q9" s="547">
        <f>IF(ISNUMBER(Datos!P9),Datos!P9,0)</f>
        <v>328</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f>IF(ISNUMBER(Datos!Q9),Datos!Q9," - ")</f>
        <v>135</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f>IF(ISNUMBER(Datos!AB9),Datos!AB9,"-")</f>
        <v>126</v>
      </c>
      <c r="AI9" s="549" t="str">
        <f>IF(ISNUMBER(Datos!CD9),Datos!CD9,"-")</f>
        <v>-</v>
      </c>
      <c r="AJ9" s="549" t="str">
        <f>IF(ISNUMBER(Datos!EN9),Datos!EN9," - ")</f>
        <v xml:space="preserve"> - </v>
      </c>
      <c r="AK9" s="549"/>
      <c r="AL9" s="550"/>
      <c r="AM9" s="766">
        <f>IF(ISNUMBER(Datos!R9),Datos!R9," - ")</f>
        <v>6523</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f>IF(ISNUMBER(Datos!M9),Datos!M9," - ")</f>
        <v>279</v>
      </c>
      <c r="BD9" s="693">
        <f>IF(ISNUMBER(Datos!N9),Datos!N9," - ")</f>
        <v>534</v>
      </c>
      <c r="BE9" s="693" t="str">
        <f>IF(ISNUMBER(Datos!BW9),Datos!BW9," - ")</f>
        <v xml:space="preserve"> - </v>
      </c>
      <c r="BF9" s="762" t="str">
        <f>IF(ISNUMBER(Datos!BX9),Datos!BX9," - ")</f>
        <v xml:space="preserve"> - </v>
      </c>
      <c r="BG9" s="763">
        <f>IF(ISNUMBER(IF(J_V="SI",Datos!K9/Datos!J9,(Datos!K9+Datos!AA9)/(Datos!J9+Datos!Z9))),IF(J_V="SI",Datos!K9/Datos!J9,(Datos!K9+Datos!AA9)/(Datos!J9+Datos!Z9))," - ")</f>
        <v>0.81786133960047003</v>
      </c>
      <c r="BH9" s="764">
        <f>IF(ISNUMBER(((IF(J_V="SI",Datos!L9/Datos!K9,(Datos!L9+Datos!AB9)/(Datos!K9+Datos!AA9)))*11)/factor_trimestre),((IF(J_V="SI",Datos!L9/Datos!K9,(Datos!L9+Datos!AB9)/(Datos!K9+Datos!AA9)))*11)/factor_trimestre," - ")</f>
        <v>6.9978448275862064</v>
      </c>
      <c r="BI9" s="763"/>
      <c r="BJ9" s="555" t="str">
        <f>IF(ISNUMBER(Datos!CI9/Datos!CJ9),Datos!CI9/Datos!CJ9," - ")</f>
        <v xml:space="preserve"> - </v>
      </c>
      <c r="BK9" s="748" t="str">
        <f>IF(ISNUMBER(Datos!CJ9),Datos!CJ9," - ")</f>
        <v xml:space="preserve"> - </v>
      </c>
      <c r="BL9" s="555" t="str">
        <f>IF(ISNUMBER((J9-AB9+L9)/(F9)),(J9-AB9+L9)/(F9)," - ")</f>
        <v xml:space="preserve"> - </v>
      </c>
      <c r="BM9" s="767">
        <f>IF(ISNUMBER((Datos!P9-Datos!Q9+Datos!DE9)/(Datos!R9-Datos!P9+Datos!Q9-Datos!DE9)),(Datos!P9-Datos!Q9+Datos!DE9)/(Datos!R9-Datos!P9+Datos!Q9-Datos!DE9)," - ")</f>
        <v>3.0489731437598738E-2</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126</v>
      </c>
      <c r="G10" s="543">
        <f>IF(ISNUMBER(Datos!I10),Datos!I10," - ")</f>
        <v>126</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5</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38</v>
      </c>
      <c r="AC10" s="547">
        <f>IF(ISNUMBER(Datos!Q10),Datos!Q10," - ")</f>
        <v>12</v>
      </c>
      <c r="AD10" s="549"/>
      <c r="AE10" s="563"/>
      <c r="AF10" s="551">
        <f>IF(ISNUMBER(Datos!L10),Datos!L10,"-")</f>
        <v>117</v>
      </c>
      <c r="AG10" s="549"/>
      <c r="AH10" s="549"/>
      <c r="AI10" s="549"/>
      <c r="AJ10" s="549"/>
      <c r="AK10" s="549"/>
      <c r="AL10" s="550"/>
      <c r="AM10" s="766">
        <f>IF(ISNUMBER(Datos!R10),Datos!R10," - ")</f>
        <v>61</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15</v>
      </c>
      <c r="BD10" s="693">
        <f>IF(ISNUMBER(Datos!N10),Datos!N10," - ")</f>
        <v>14</v>
      </c>
      <c r="BE10" s="693" t="str">
        <f>IF(ISNUMBER(Datos!BW10),Datos!BW10," - ")</f>
        <v xml:space="preserve"> - </v>
      </c>
      <c r="BF10" s="762" t="str">
        <f>IF(ISNUMBER(Datos!BX10),Datos!BX10," - ")</f>
        <v xml:space="preserve"> - </v>
      </c>
      <c r="BG10" s="763">
        <f>IF(ISNUMBER(Datos!K10/Datos!J10),Datos!K10/Datos!J10," - ")</f>
        <v>1.3103448275862069</v>
      </c>
      <c r="BH10" s="764">
        <f>IF(ISNUMBER(((Datos!L10/Datos!K10)*11)/factor_trimestre),((Datos!L10/Datos!K10)*11)/factor_trimestre," - ")</f>
        <v>9.2368421052631593</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-0.10294117647058823</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0</v>
      </c>
      <c r="B12" s="746" t="s">
        <v>321</v>
      </c>
      <c r="C12" s="747" t="str">
        <f>Datos!A12</f>
        <v xml:space="preserve">Jdos. 1ª Instª. e Instr.                        </v>
      </c>
      <c r="D12" s="601"/>
      <c r="E12" s="764">
        <f>IF(ISNUMBER(Datos!AQ12),Datos!AQ12," - ")</f>
        <v>0</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0</v>
      </c>
      <c r="O12" s="549"/>
      <c r="P12" s="549"/>
      <c r="Q12" s="547">
        <f>IF(ISNUMBER(Datos!P12),Datos!P12,0)</f>
        <v>0</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0</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0</v>
      </c>
      <c r="AI12" s="549" t="str">
        <f>IF(ISNUMBER(Datos!CD12),Datos!CD12,"-")</f>
        <v>-</v>
      </c>
      <c r="AJ12" s="549" t="str">
        <f>IF(ISNUMBER(Datos!EN12),Datos!EN12," - ")</f>
        <v xml:space="preserve"> - </v>
      </c>
      <c r="AK12" s="549"/>
      <c r="AL12" s="550"/>
      <c r="AM12" s="766">
        <f>IF(ISNUMBER(Datos!R12),Datos!R12," - ")</f>
        <v>11</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0</v>
      </c>
      <c r="BD12" s="693">
        <f>IF(ISNUMBER(Datos!N12),Datos!N12," - ")</f>
        <v>0</v>
      </c>
      <c r="BE12" s="693" t="str">
        <f>IF(ISNUMBER(Datos!BW12),Datos!BW12," - ")</f>
        <v xml:space="preserve"> - </v>
      </c>
      <c r="BF12" s="762" t="str">
        <f>IF(ISNUMBER(Datos!BX12),Datos!BX12," - ")</f>
        <v xml:space="preserve"> - </v>
      </c>
      <c r="BG12" s="763" t="str">
        <f>IF(ISNUMBER(IF(J_V="SI",Datos!K12/Datos!J12,(Datos!K12+Datos!AA12)/(Datos!J12+Datos!Z12))),IF(J_V="SI",Datos!K12/Datos!J12,(Datos!K12+Datos!AA12)/(Datos!J12+Datos!Z12))," - ")</f>
        <v xml:space="preserve"> - </v>
      </c>
      <c r="BH12" s="764" t="str">
        <f>IF(ISNUMBER(((IF(J_V="SI",Datos!L12/Datos!K12,(Datos!L12+Datos!AB12)/(Datos!K12+Datos!AA12)))*11)/factor_trimestre),((IF(J_V="SI",Datos!L12/Datos!K12,(Datos!L12+Datos!AB12)/(Datos!K12+Datos!AA12)))*11)/factor_trimestre," - ")</f>
        <v xml:space="preserve"> - </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0</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5</v>
      </c>
      <c r="F14" s="1197">
        <f t="shared" si="1"/>
        <v>126</v>
      </c>
      <c r="G14" s="1197">
        <f t="shared" si="1"/>
        <v>126</v>
      </c>
      <c r="H14" s="1198">
        <f t="shared" si="1"/>
        <v>0</v>
      </c>
      <c r="I14" s="1197">
        <f t="shared" si="1"/>
        <v>0</v>
      </c>
      <c r="J14" s="1164">
        <f t="shared" si="1"/>
        <v>0</v>
      </c>
      <c r="K14" s="1164">
        <f t="shared" si="1"/>
        <v>0</v>
      </c>
      <c r="L14" s="1198">
        <f t="shared" si="1"/>
        <v>0</v>
      </c>
      <c r="M14" s="1198">
        <f t="shared" si="1"/>
        <v>0</v>
      </c>
      <c r="N14" s="1198">
        <f t="shared" si="1"/>
        <v>132</v>
      </c>
      <c r="O14" s="1199">
        <f t="shared" si="1"/>
        <v>0</v>
      </c>
      <c r="P14" s="1199">
        <f t="shared" si="1"/>
        <v>0</v>
      </c>
      <c r="Q14" s="1198">
        <f t="shared" si="1"/>
        <v>333</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38</v>
      </c>
      <c r="AC14" s="1198">
        <f t="shared" si="2"/>
        <v>147</v>
      </c>
      <c r="AD14" s="1198">
        <f t="shared" si="2"/>
        <v>0</v>
      </c>
      <c r="AE14" s="1198">
        <f t="shared" si="2"/>
        <v>0</v>
      </c>
      <c r="AF14" s="1198">
        <f t="shared" si="2"/>
        <v>117</v>
      </c>
      <c r="AG14" s="1198">
        <f t="shared" si="2"/>
        <v>0</v>
      </c>
      <c r="AH14" s="1198">
        <f t="shared" si="2"/>
        <v>126</v>
      </c>
      <c r="AI14" s="1198">
        <f t="shared" si="2"/>
        <v>0</v>
      </c>
      <c r="AJ14" s="1198">
        <f t="shared" si="2"/>
        <v>0</v>
      </c>
      <c r="AK14" s="1198">
        <f t="shared" si="2"/>
        <v>0</v>
      </c>
      <c r="AL14" s="1198">
        <f t="shared" si="2"/>
        <v>0</v>
      </c>
      <c r="AM14" s="1198">
        <f t="shared" si="2"/>
        <v>6595</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294</v>
      </c>
      <c r="BD14" s="1198">
        <f t="shared" si="2"/>
        <v>548</v>
      </c>
      <c r="BE14" s="1198">
        <f t="shared" si="2"/>
        <v>0</v>
      </c>
      <c r="BF14" s="1198">
        <f t="shared" si="2"/>
        <v>0</v>
      </c>
      <c r="BG14" s="1198">
        <f>IF(ISNUMBER(Datos!K14/Datos!J14),Datos!K14/Datos!J14," - ")</f>
        <v>0.82301438398999371</v>
      </c>
      <c r="BH14" s="1202">
        <f>IF(ISNUMBER(((Datos!L14/Datos!K14)*11)/factor_trimestre),((Datos!L14/Datos!K14)*11)/factor_trimestre," - ")</f>
        <v>7.3814589665653489</v>
      </c>
      <c r="BI14" s="1198">
        <f>IF(ISNUMBER('Resol  Asuntos'!D14/NºAsuntos!G14),'Resol  Asuntos'!D14/NºAsuntos!G14," - ")</f>
        <v>0.20559440559440559</v>
      </c>
      <c r="BJ14" s="1198" t="str">
        <f>IF(ISNUMBER(Datos!CI14/Datos!CJ14),Datos!CI14/Datos!CJ14," - ")</f>
        <v xml:space="preserve"> - </v>
      </c>
      <c r="BK14" s="1198">
        <f>SUBTOTAL(9,BK8:BK13)</f>
        <v>0</v>
      </c>
      <c r="BL14" s="1198">
        <f>IF(ISNUMBER((I14-AB14+L14)/(F14)),(I14-AB14+L14)/(F14)," - ")</f>
        <v>-0.30158730158730157</v>
      </c>
      <c r="BM14" s="1203">
        <f>SUBTOTAL(9,BM9:BM13)</f>
        <v>-7.2451445032989489E-2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3</v>
      </c>
      <c r="B16" s="737" t="s">
        <v>511</v>
      </c>
      <c r="C16" s="749" t="str">
        <f>Datos!A16</f>
        <v xml:space="preserve">Jdos. Instrucción                               </v>
      </c>
      <c r="D16" s="750"/>
      <c r="E16" s="1555">
        <f>IF(ISNUMBER(Datos!AQ16),Datos!AQ16," - ")</f>
        <v>3</v>
      </c>
      <c r="F16" s="740">
        <f>IF(ISNUMBER(AF16+AB16-Datos!J16-L16),AF16+AB16-Datos!J16-L16," - ")</f>
        <v>1823</v>
      </c>
      <c r="G16" s="743">
        <f>IF(ISNUMBER(IF(D_I="SI",Datos!I16,Datos!I16+Datos!AC16)),IF(D_I="SI",Datos!I16,Datos!I16+Datos!AC16)," - ")</f>
        <v>1815</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32</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f>IF(ISNUMBER(IF(D_I="SI",Datos!K16,Datos!K16+Datos!AE16)),IF(D_I="SI",Datos!K16,Datos!K16+Datos!AE16)," - ")</f>
        <v>2235</v>
      </c>
      <c r="AC16" s="240">
        <f>IF(ISNUMBER(Datos!Q16),Datos!Q16," - ")</f>
        <v>56</v>
      </c>
      <c r="AD16" s="374"/>
      <c r="AE16" s="562"/>
      <c r="AF16" s="741">
        <f>IF(ISNUMBER(IF(D_I="SI",Datos!L16,Datos!L16+Datos!AF16)),IF(D_I="SI",Datos!L16,Datos!L16+Datos!AF16)," - ")</f>
        <v>1525</v>
      </c>
      <c r="AG16" s="374"/>
      <c r="AH16" s="374"/>
      <c r="AI16" s="374"/>
      <c r="AJ16" s="549"/>
      <c r="AK16" s="374"/>
      <c r="AL16" s="545"/>
      <c r="AM16" s="375">
        <f>IF(ISNUMBER(Datos!R16),Datos!R16," - ")</f>
        <v>241</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f>IF(ISNUMBER(Datos!M16),Datos!M16," - ")</f>
        <v>129</v>
      </c>
      <c r="BD16" s="243">
        <f>IF(ISNUMBER(Datos!N16),Datos!N16," - ")</f>
        <v>1438</v>
      </c>
      <c r="BE16" s="243" t="str">
        <f>IF(ISNUMBER(Datos!BW16),Datos!BW16," - ")</f>
        <v xml:space="preserve"> - </v>
      </c>
      <c r="BF16" s="242" t="str">
        <f>IF(ISNUMBER(Datos!BX16),Datos!BX16," - ")</f>
        <v xml:space="preserve"> - </v>
      </c>
      <c r="BG16" s="763">
        <f>IF(ISNUMBER(IF(D_I="SI",Datos!K16/Datos!J16,(Datos!K16+Datos!AE16)/(Datos!J16+Datos!AD16))),IF(D_I="SI",Datos!K16/Datos!J16,(Datos!K16+Datos!AE16)/(Datos!J16+Datos!AD16))," - ")</f>
        <v>1.1538461538461537</v>
      </c>
      <c r="BH16" s="764">
        <f>IF(ISNUMBER(((IF(D_I="SI",Datos!L16/Datos!K16,(Datos!L16+Datos!AF16)/(Datos!K16+Datos!AE16)))*11)/factor_trimestre),((IF(D_I="SI",Datos!L16/Datos!K16,(Datos!L16+Datos!AF16)/(Datos!K16+Datos!AE16)))*11)/factor_trimestre," - ")</f>
        <v>2.0469798657718119</v>
      </c>
      <c r="BI16" s="266">
        <f>IF(ISNUMBER('Resol  Asuntos'!D16/NºAsuntos!G16),'Resol  Asuntos'!D16/NºAsuntos!G16," - ")</f>
        <v>5.771812080536913E-2</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0</v>
      </c>
      <c r="B17" s="737" t="s">
        <v>511</v>
      </c>
      <c r="C17" s="749" t="str">
        <f>Datos!A17</f>
        <v xml:space="preserve">Jdos. 1ª Instª. e Instr.                        </v>
      </c>
      <c r="D17" s="750"/>
      <c r="E17" s="1555">
        <f>IF(ISNUMBER(Datos!AQ17),Datos!AQ17," - ")</f>
        <v>0</v>
      </c>
      <c r="F17" s="740" t="str">
        <f>IF(ISNUMBER(AF17+AB17-Datos!J17-L17),AF17+AB17-Datos!J17-L17," - ")</f>
        <v xml:space="preserve"> - </v>
      </c>
      <c r="G17" s="743" t="str">
        <f>IF(ISNUMBER(IF(D_I="SI",Datos!I17,Datos!I17+Datos!AC17)),IF(D_I="SI",Datos!I17,Datos!I17+Datos!AC17)," - ")</f>
        <v xml:space="preserve"> - </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t="str">
        <f>IF(ISNUMBER(IF(D_I="SI",Datos!K17,Datos!K17+Datos!AE17)),IF(D_I="SI",Datos!K17,Datos!K17+Datos!AE17)," - ")</f>
        <v xml:space="preserve"> - </v>
      </c>
      <c r="AC17" s="240" t="str">
        <f>IF(ISNUMBER(Datos!Q17),Datos!Q17," - ")</f>
        <v xml:space="preserve"> - </v>
      </c>
      <c r="AD17" s="374"/>
      <c r="AE17" s="562"/>
      <c r="AF17" s="741" t="str">
        <f>IF(ISNUMBER(IF(D_I="SI",Datos!L17,Datos!L17+Datos!AF17)),IF(D_I="SI",Datos!L17,Datos!L17+Datos!AF17)," - ")</f>
        <v xml:space="preserve"> - </v>
      </c>
      <c r="AG17" s="374"/>
      <c r="AH17" s="374"/>
      <c r="AI17" s="374"/>
      <c r="AJ17" s="549"/>
      <c r="AK17" s="374"/>
      <c r="AL17" s="545"/>
      <c r="AM17" s="375" t="str">
        <f>IF(ISNUMBER(Datos!R17),Datos!R17," - ")</f>
        <v xml:space="preserve"> - </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t="str">
        <f>IF(ISNUMBER(Datos!M17),Datos!M17," - ")</f>
        <v xml:space="preserve"> - </v>
      </c>
      <c r="BD17" s="243" t="str">
        <f>IF(ISNUMBER(Datos!N17),Datos!N17," - ")</f>
        <v xml:space="preserve"> - </v>
      </c>
      <c r="BE17" s="243" t="str">
        <f>IF(ISNUMBER(Datos!BW17),Datos!BW17," - ")</f>
        <v xml:space="preserve"> - </v>
      </c>
      <c r="BF17" s="242" t="str">
        <f>IF(ISNUMBER(Datos!BX17),Datos!BX17," - ")</f>
        <v xml:space="preserve"> - </v>
      </c>
      <c r="BG17" s="763" t="str">
        <f>IF(ISNUMBER(IF(D_I="SI",Datos!K17/Datos!J17,(Datos!K17+Datos!AE17)/(Datos!J17+Datos!AD17))),IF(D_I="SI",Datos!K17/Datos!J17,(Datos!K17+Datos!AE17)/(Datos!J17+Datos!AD17))," - ")</f>
        <v xml:space="preserve"> - </v>
      </c>
      <c r="BH17" s="764" t="str">
        <f>IF(ISNUMBER(((IF(D_I="SI",Datos!L17/Datos!K17,(Datos!L17+Datos!AF17)/(Datos!K17+Datos!AE17)))*11)/factor_trimestre),((IF(D_I="SI",Datos!L17/Datos!K17,(Datos!L17+Datos!AF17)/(Datos!K17+Datos!AE17)))*11)/factor_trimestre," - ")</f>
        <v xml:space="preserve"> - </v>
      </c>
      <c r="BI17" s="266" t="str">
        <f>IF(ISNUMBER('Resol  Asuntos'!D17/NºAsuntos!G17),'Resol  Asuntos'!D17/NºAsuntos!G17," - ")</f>
        <v xml:space="preserve"> - </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323</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4</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225</v>
      </c>
      <c r="AC18" s="547">
        <f>IF(ISNUMBER(Datos!Q18),Datos!Q18," - ")</f>
        <v>11</v>
      </c>
      <c r="AD18" s="549"/>
      <c r="AE18" s="562"/>
      <c r="AF18" s="551">
        <f>IF(ISNUMBER(Datos!L18),Datos!L18,"-")</f>
        <v>335</v>
      </c>
      <c r="AG18" s="549"/>
      <c r="AH18" s="549"/>
      <c r="AI18" s="549"/>
      <c r="AJ18" s="549"/>
      <c r="AK18" s="549"/>
      <c r="AL18" s="550"/>
      <c r="AM18" s="766">
        <f>IF(ISNUMBER(Datos!R18),Datos!R18," - ")</f>
        <v>25</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39</v>
      </c>
      <c r="BD18" s="693">
        <f>IF(ISNUMBER(Datos!N18),Datos!N18," - ")</f>
        <v>168</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0.94936708860759489</v>
      </c>
      <c r="BH18" s="764">
        <f>IF(ISNUMBER(((IF(D_I="SI",Datos!L18/Datos!K18,(Datos!L18+Datos!AF18)/(Datos!K18+Datos!AE18)))*11)/factor_trimestre),((IF(D_I="SI",Datos!L18/Datos!K18,(Datos!L18+Datos!AF18)/(Datos!K18+Datos!AE18)))*11)/factor_trimestre," - ")</f>
        <v>4.4666666666666677</v>
      </c>
      <c r="BI18" s="763">
        <f>IF(ISNUMBER('Resol  Asuntos'!D18/NºAsuntos!G18),'Resol  Asuntos'!D18/NºAsuntos!G18," - ")</f>
        <v>0.17333333333333334</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3</v>
      </c>
      <c r="F23" s="1197">
        <f>SUBTOTAL(9,F16:F22)</f>
        <v>1823</v>
      </c>
      <c r="G23" s="1197">
        <f>SUBTOTAL(9,G16:G22)</f>
        <v>2138</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36</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2460</v>
      </c>
      <c r="AC23" s="1198">
        <f t="shared" si="5"/>
        <v>67</v>
      </c>
      <c r="AD23" s="1198">
        <f t="shared" si="5"/>
        <v>0</v>
      </c>
      <c r="AE23" s="1198">
        <f t="shared" si="5"/>
        <v>0</v>
      </c>
      <c r="AF23" s="1198">
        <f t="shared" si="5"/>
        <v>1860</v>
      </c>
      <c r="AG23" s="1198">
        <f t="shared" si="5"/>
        <v>0</v>
      </c>
      <c r="AH23" s="1198">
        <f t="shared" si="5"/>
        <v>0</v>
      </c>
      <c r="AI23" s="1198">
        <f t="shared" si="5"/>
        <v>0</v>
      </c>
      <c r="AJ23" s="1198">
        <f t="shared" si="5"/>
        <v>0</v>
      </c>
      <c r="AK23" s="1198">
        <f t="shared" si="5"/>
        <v>0</v>
      </c>
      <c r="AL23" s="1198">
        <f t="shared" si="5"/>
        <v>0</v>
      </c>
      <c r="AM23" s="1198">
        <f t="shared" si="5"/>
        <v>266</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168</v>
      </c>
      <c r="BD23" s="1198">
        <f t="shared" si="5"/>
        <v>1606</v>
      </c>
      <c r="BE23" s="1198">
        <f t="shared" si="5"/>
        <v>0</v>
      </c>
      <c r="BF23" s="1198">
        <f t="shared" si="5"/>
        <v>0</v>
      </c>
      <c r="BG23" s="1198">
        <f>IF(ISNUMBER(Datos!K23/Datos!J23),Datos!K23/Datos!J23," - ")</f>
        <v>1.1315547378104875</v>
      </c>
      <c r="BH23" s="1202">
        <f>IF(ISNUMBER(((Datos!L23/Datos!K23)*11)/factor_trimestre),((Datos!L23/Datos!K23)*11)/factor_trimestre," - ")</f>
        <v>2.2682926829268291</v>
      </c>
      <c r="BI23" s="1198">
        <f>SUBTOTAL(9,BI16:BI22)</f>
        <v>0.23105145413870248</v>
      </c>
      <c r="BJ23" s="1198">
        <f>SUBTOTAL(9,BJ16:BJ22)</f>
        <v>0</v>
      </c>
      <c r="BK23" s="1198">
        <f>SUBTOTAL(9,BK16:BK22)</f>
        <v>0</v>
      </c>
      <c r="BL23" s="1198">
        <f>IF(ISNUMBER((I23-AB23+L23)/(F23)),(I23-AB23+L23)/(F23)," - ")</f>
        <v>-1.3494240263302248</v>
      </c>
      <c r="BM23" s="1205">
        <f>IF(ISNUMBER((Datos!P23-Datos!Q23)/(Datos!R23-Datos!P23+Datos!Q23)),(Datos!P23-Datos!Q23)/(Datos!R23-Datos!P23+Datos!Q23)," - ")</f>
        <v>-0.10437710437710437</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8</v>
      </c>
      <c r="F31" s="1117">
        <f t="shared" si="18"/>
        <v>1949</v>
      </c>
      <c r="G31" s="1117">
        <f t="shared" si="18"/>
        <v>2264</v>
      </c>
      <c r="H31" s="1119">
        <f t="shared" si="18"/>
        <v>0</v>
      </c>
      <c r="I31" s="1117">
        <f t="shared" si="18"/>
        <v>0</v>
      </c>
      <c r="J31" s="1119">
        <f t="shared" si="18"/>
        <v>0</v>
      </c>
      <c r="K31" s="1119">
        <f t="shared" si="18"/>
        <v>0</v>
      </c>
      <c r="L31" s="1180">
        <f t="shared" si="18"/>
        <v>0</v>
      </c>
      <c r="M31" s="1180">
        <f t="shared" si="18"/>
        <v>0</v>
      </c>
      <c r="N31" s="1180">
        <f t="shared" si="18"/>
        <v>132</v>
      </c>
      <c r="O31" s="1180">
        <f t="shared" si="18"/>
        <v>0</v>
      </c>
      <c r="P31" s="1180">
        <f t="shared" si="18"/>
        <v>0</v>
      </c>
      <c r="Q31" s="1119">
        <f t="shared" si="18"/>
        <v>369</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2498</v>
      </c>
      <c r="AC31" s="1118">
        <f t="shared" si="19"/>
        <v>214</v>
      </c>
      <c r="AD31" s="1118">
        <f t="shared" si="19"/>
        <v>0</v>
      </c>
      <c r="AE31" s="1118">
        <f t="shared" si="19"/>
        <v>0</v>
      </c>
      <c r="AF31" s="1125">
        <f t="shared" si="19"/>
        <v>1977</v>
      </c>
      <c r="AG31" s="1125">
        <f t="shared" si="19"/>
        <v>0</v>
      </c>
      <c r="AH31" s="1125">
        <f t="shared" si="19"/>
        <v>126</v>
      </c>
      <c r="AI31" s="1125">
        <f t="shared" si="19"/>
        <v>0</v>
      </c>
      <c r="AJ31" s="1118">
        <f t="shared" si="19"/>
        <v>0</v>
      </c>
      <c r="AK31" s="1125">
        <f t="shared" si="19"/>
        <v>0</v>
      </c>
      <c r="AL31" s="1125">
        <f t="shared" si="19"/>
        <v>0</v>
      </c>
      <c r="AM31" s="1125">
        <f t="shared" si="19"/>
        <v>6861</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462</v>
      </c>
      <c r="BD31" s="1117">
        <f t="shared" si="19"/>
        <v>2154</v>
      </c>
      <c r="BE31" s="1117">
        <f t="shared" si="19"/>
        <v>0</v>
      </c>
      <c r="BF31" s="1127">
        <f t="shared" si="19"/>
        <v>0</v>
      </c>
      <c r="BG31" s="1223">
        <f>IF(ISNUMBER(Datos!K31/Datos!J31),Datos!K31/Datos!J31," - ")</f>
        <v>1.0007951232441028</v>
      </c>
      <c r="BH31" s="1223">
        <f>IF(ISNUMBER(((Datos!L31/Datos!K31)*11)/factor_trimestre),((Datos!L31/Datos!K31)*11)/factor_trimestre," - ")</f>
        <v>4.0503177966101696</v>
      </c>
      <c r="BI31" s="1103">
        <f>IF(ISNUMBER(Datos!J31/Datos!I31),Datos!J31/Datos!I31," - ")</f>
        <v>0.74082073434125273</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-1.2816829143150335</v>
      </c>
      <c r="BM31" s="1188">
        <f>IF(ISNUMBER((Datos!P31-Datos!Q31+R31)/(Datos!R31-Datos!P31+Datos!Q31-R31)),(Datos!P31-Datos!Q31+R31)/(Datos!R31-Datos!P31+Datos!Q31-R31)," - ")</f>
        <v>2.3113629585445869E-2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646.85714285714289</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1.7404711333664431</v>
      </c>
      <c r="F33" s="673">
        <f>IF(ISNUMBER(STDEV(F8:F30)),STDEV(F8:F30),"-")</f>
        <v>910.60521998650256</v>
      </c>
      <c r="G33" s="674">
        <f>IF(ISNUMBER(STDEV(G8:G30)),STDEV(G8:G30),"-")</f>
        <v>919.4546261364992</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1120.611546475958</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120.42840196564929</v>
      </c>
      <c r="BD33" s="673"/>
      <c r="BE33" s="673">
        <f>IF(ISNUMBER(STDEV(BE8:BE30)),STDEV(BE8:BE30),"-")</f>
        <v>0</v>
      </c>
      <c r="BF33" s="678">
        <f>IF(ISNUMBER(STDEV(BF8:BF30)),STDEV(BF8:BF30),"-")</f>
        <v>0</v>
      </c>
      <c r="BG33" s="1052">
        <f>IF(ISNUMBER(STDEV(BG8:BG30)),STDEV(BG8:BG30),"-")</f>
        <v>0.19929174731259755</v>
      </c>
      <c r="BH33" s="1058">
        <f>IF(ISNUMBER(STDEV(BH8:BH30)),STDEV(BH8:BH30),"-")</f>
        <v>2.9367359537512381</v>
      </c>
      <c r="BI33" s="273">
        <f>IF(ISNUMBER(STDEV(BI8:BI30)),STDEV(BI8:BI30),"-")</f>
        <v>7.6539171337657239E-2</v>
      </c>
      <c r="BJ33" s="244" t="str">
        <f>IF(ISNUMBER(BL33/BM33),BL33/BM33," - ")</f>
        <v xml:space="preserve"> - </v>
      </c>
      <c r="BK33" s="709"/>
      <c r="BL33" s="681">
        <f>IF(ISNUMBER(STDEV(BL8:BL30)),STDEV(BL8:BL30),"-")</f>
        <v>0.74093245364202287</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wtFGR50yIWW3HfESyqLNJ7z94jaj9ccElV/Tn+9fYc4Mw3GqHGTFFus99BT0FVtBPp2WF2KAswaRisUby3J+bw==" saltValue="34CGYEZupczqXRTEDpKiv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ISLAS BALEARES</v>
      </c>
    </row>
    <row r="2" spans="1:73" ht="16.5" customHeight="1">
      <c r="C2" s="647" t="str">
        <f>Criterios!A10 &amp;"  "&amp;Criterios!B10 &amp; "  " &amp; IF(NOT(ISBLANK(Criterios!A11)),Criterios!A11 &amp;"  "&amp;Criterios!B11,"")</f>
        <v>Provincias  ILLES BALEARS  Resumenes por Partidos Judiciales  MANACOR</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1 al 1</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5</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328</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f>IF(ISNUMBER(Datos!Q9),Datos!Q9," - ")</f>
        <v>135</v>
      </c>
      <c r="AA9" s="551" t="str">
        <f>IF(ISNUMBER(IF(J_V="SI",Datos!L9,Datos!L9+Datos!AB9)-IF(Monitorios="SI",Datos!CD9,0)),
                          IF(J_V="SI",Datos!L9,Datos!L9+Datos!AB9)-IF(Monitorios="SI",Datos!CD9,0),
                          " - ")</f>
        <v xml:space="preserve"> - </v>
      </c>
      <c r="AB9" s="549"/>
      <c r="AC9" s="549"/>
      <c r="AD9" s="563"/>
      <c r="AE9" s="563">
        <f>IF(ISNUMBER(Datos!R9),Datos!R9," - ")</f>
        <v>6523</v>
      </c>
      <c r="AF9" s="693" t="str">
        <f>IF(ISNUMBER(Datos!BV9),Datos!BV9," - ")</f>
        <v xml:space="preserve"> - </v>
      </c>
      <c r="AG9" s="552" t="str">
        <f>IF(ISNUMBER(Datos!DV9),Datos!DV9," - ")</f>
        <v xml:space="preserve"> - </v>
      </c>
      <c r="AH9" s="553"/>
      <c r="AI9" s="554"/>
      <c r="AJ9" s="552">
        <f>IF(ISNUMBER(Datos!M9),Datos!M9," - ")</f>
        <v>279</v>
      </c>
      <c r="AK9" s="693">
        <f>IF(ISNUMBER(Datos!N9),Datos!N9," - ")</f>
        <v>534</v>
      </c>
      <c r="AL9" s="693" t="str">
        <f>IF(ISNUMBER(Datos!BW9),Datos!BW9," - ")</f>
        <v xml:space="preserve"> - </v>
      </c>
      <c r="AM9" s="762" t="str">
        <f>IF(ISNUMBER(Datos!BX9),Datos!BX9," - ")</f>
        <v xml:space="preserve"> - </v>
      </c>
      <c r="AN9" s="763"/>
      <c r="AO9" s="764">
        <f>IF(ISNUMBER(((NºAsuntos!I9/NºAsuntos!G9)*11)/factor_trimestre),((NºAsuntos!I9/NºAsuntos!G9)*11)/factor_trimestre," - ")</f>
        <v>6.9978448275862064</v>
      </c>
      <c r="AP9" s="555" t="str">
        <f>IF(ISNUMBER(Datos!CI9/Datos!CJ9),Datos!CI9/Datos!CJ9," - ")</f>
        <v xml:space="preserve"> - </v>
      </c>
      <c r="AQ9" s="555" t="str">
        <f>IF(ISNUMBER((J9-Y9+K9)/(F9)),(J9-Y9+K9)/(F9)," - ")</f>
        <v xml:space="preserve"> - </v>
      </c>
      <c r="AR9" s="555">
        <f>IF(ISNUMBER((Datos!P9-Datos!Q9+Datos!DE9)/(Datos!R9-Datos!P9+Datos!Q9-Datos!DE9)),(Datos!P9-Datos!Q9+Datos!DE9)/(Datos!R9-Datos!P9+Datos!Q9-Datos!DE9)," - ")</f>
        <v>3.0489731437598738E-2</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126</v>
      </c>
      <c r="G10" s="552">
        <f>IF(ISNUMBER(Datos!I10),Datos!I10," - ")</f>
        <v>126</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5</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38</v>
      </c>
      <c r="Z10" s="805">
        <f>IF(ISNUMBER(Datos!Q10),Datos!Q10," - ")</f>
        <v>12</v>
      </c>
      <c r="AA10" s="551">
        <f>IF(ISNUMBER(Datos!L10),Datos!L10,"-")</f>
        <v>117</v>
      </c>
      <c r="AB10" s="549"/>
      <c r="AC10" s="549"/>
      <c r="AD10" s="563"/>
      <c r="AE10" s="563">
        <f>IF(ISNUMBER(Datos!R10),Datos!R10," - ")</f>
        <v>61</v>
      </c>
      <c r="AF10" s="693" t="str">
        <f>IF(ISNUMBER(Datos!BV10),Datos!BV10," - ")</f>
        <v xml:space="preserve"> - </v>
      </c>
      <c r="AG10" s="552" t="str">
        <f>IF(ISNUMBER(Datos!DV10),Datos!DV10," - ")</f>
        <v xml:space="preserve"> - </v>
      </c>
      <c r="AH10" s="553"/>
      <c r="AI10" s="554"/>
      <c r="AJ10" s="552">
        <f>IF(ISNUMBER(Datos!M10),Datos!M10," - ")</f>
        <v>15</v>
      </c>
      <c r="AK10" s="693">
        <f>IF(ISNUMBER(Datos!N10),Datos!N10," - ")</f>
        <v>14</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9.2368421052631593</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-0.10294117647058823</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0</v>
      </c>
      <c r="B12" s="746" t="s">
        <v>321</v>
      </c>
      <c r="C12" s="747" t="str">
        <f>Datos!A12</f>
        <v xml:space="preserve">Jdos. 1ª Instª. e Instr.                        </v>
      </c>
      <c r="D12" s="601"/>
      <c r="E12" s="1558">
        <f>IF(ISNUMBER(Datos!AQ12),Datos!AQ12," - ")</f>
        <v>0</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0</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0</v>
      </c>
      <c r="AA12" s="551" t="str">
        <f>IF(ISNUMBER(IF(J_V="SI",Datos!L12,Datos!L12+Datos!AB12)-IF(Monitorios="SI",Datos!CD12,0)),
                          IF(J_V="SI",Datos!L12,Datos!L12+Datos!AB12)-IF(Monitorios="SI",Datos!CD12,0),
                          " - ")</f>
        <v xml:space="preserve"> - </v>
      </c>
      <c r="AB12" s="549"/>
      <c r="AC12" s="549"/>
      <c r="AD12" s="563"/>
      <c r="AE12" s="563">
        <f>IF(ISNUMBER(Datos!R12),Datos!R12," - ")</f>
        <v>11</v>
      </c>
      <c r="AF12" s="693" t="str">
        <f>IF(ISNUMBER(Datos!BV12),Datos!BV12," - ")</f>
        <v xml:space="preserve"> - </v>
      </c>
      <c r="AG12" s="552" t="str">
        <f>IF(ISNUMBER(Datos!DV12),Datos!DV12," - ")</f>
        <v xml:space="preserve"> - </v>
      </c>
      <c r="AH12" s="553"/>
      <c r="AI12" s="554"/>
      <c r="AJ12" s="552">
        <f>IF(ISNUMBER(Datos!M12),Datos!M12," - ")</f>
        <v>0</v>
      </c>
      <c r="AK12" s="693">
        <f>IF(ISNUMBER(Datos!N12),Datos!N12," - ")</f>
        <v>0</v>
      </c>
      <c r="AL12" s="693" t="str">
        <f>IF(ISNUMBER(Datos!BW12),Datos!BW12," - ")</f>
        <v xml:space="preserve"> - </v>
      </c>
      <c r="AM12" s="762" t="str">
        <f>IF(ISNUMBER(Datos!BX12),Datos!BX12," - ")</f>
        <v xml:space="preserve"> - </v>
      </c>
      <c r="AN12" s="763"/>
      <c r="AO12" s="764" t="str">
        <f>IF(ISNUMBER(((NºAsuntos!I12/NºAsuntos!G12)*11)/factor_trimestre),((NºAsuntos!I12/NºAsuntos!G12)*11)/factor_trimestre," - ")</f>
        <v xml:space="preserve"> - </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0</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5</v>
      </c>
      <c r="F14" s="1197">
        <f>SUBTOTAL(9,F8:F13)</f>
        <v>126</v>
      </c>
      <c r="G14" s="1197">
        <f>SUBTOTAL(9,G8:G13)</f>
        <v>126</v>
      </c>
      <c r="H14" s="1211"/>
      <c r="I14" s="1197">
        <f t="shared" ref="I14:N14" si="1">SUBTOTAL(9,I8:I13)</f>
        <v>0</v>
      </c>
      <c r="J14" s="1164">
        <f t="shared" si="1"/>
        <v>0</v>
      </c>
      <c r="K14" s="1211">
        <f t="shared" si="1"/>
        <v>0</v>
      </c>
      <c r="L14" s="1211">
        <f t="shared" si="1"/>
        <v>0</v>
      </c>
      <c r="M14" s="1211">
        <f t="shared" si="1"/>
        <v>0</v>
      </c>
      <c r="N14" s="1211">
        <f t="shared" si="1"/>
        <v>333</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38</v>
      </c>
      <c r="Z14" s="1210">
        <f t="shared" si="3"/>
        <v>147</v>
      </c>
      <c r="AA14" s="1199">
        <f t="shared" si="3"/>
        <v>117</v>
      </c>
      <c r="AB14" s="1199">
        <f t="shared" si="3"/>
        <v>0</v>
      </c>
      <c r="AC14" s="1199">
        <f t="shared" si="3"/>
        <v>0</v>
      </c>
      <c r="AD14" s="1199">
        <f t="shared" si="3"/>
        <v>0</v>
      </c>
      <c r="AE14" s="1199">
        <f t="shared" si="3"/>
        <v>6595</v>
      </c>
      <c r="AF14" s="1211">
        <f t="shared" si="3"/>
        <v>0</v>
      </c>
      <c r="AG14" s="1211">
        <f t="shared" si="3"/>
        <v>0</v>
      </c>
      <c r="AH14" s="1211">
        <f t="shared" si="3"/>
        <v>0</v>
      </c>
      <c r="AI14" s="1211">
        <f t="shared" si="3"/>
        <v>0</v>
      </c>
      <c r="AJ14" s="1211">
        <f t="shared" si="3"/>
        <v>294</v>
      </c>
      <c r="AK14" s="1211">
        <f t="shared" si="3"/>
        <v>548</v>
      </c>
      <c r="AL14" s="1211">
        <f t="shared" si="3"/>
        <v>0</v>
      </c>
      <c r="AM14" s="1211">
        <f t="shared" si="3"/>
        <v>0</v>
      </c>
      <c r="AN14" s="1211">
        <f t="shared" si="3"/>
        <v>0</v>
      </c>
      <c r="AO14" s="1203">
        <f>IF(ISNUMBER(((NºAsuntos!I14/NºAsuntos!G14)*11)/factor_trimestre),((NºAsuntos!I14/NºAsuntos!G14)*11)/factor_trimestre," - ")</f>
        <v>7.0573426573426579</v>
      </c>
      <c r="AP14" s="1213" t="str">
        <f>IF(ISNUMBER(Datos!CI14/Datos!CJ14),Datos!CI14/Datos!CJ14," - ")</f>
        <v xml:space="preserve"> - </v>
      </c>
      <c r="AQ14" s="1236">
        <f t="shared" ref="AQ14:AV14" si="4">SUBTOTAL(9,AQ9:AQ13)</f>
        <v>0</v>
      </c>
      <c r="AR14" s="1236">
        <f t="shared" si="4"/>
        <v>-7.2451445032989489E-2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3</v>
      </c>
      <c r="B16" s="746" t="s">
        <v>511</v>
      </c>
      <c r="C16" s="765" t="str">
        <f>Datos!A16</f>
        <v xml:space="preserve">Jdos. Instrucción                               </v>
      </c>
      <c r="D16" s="593"/>
      <c r="E16" s="1558">
        <f>IF(ISNUMBER(Datos!AQ16),Datos!AQ16," - ")</f>
        <v>3</v>
      </c>
      <c r="F16" s="543">
        <f>IF(ISNUMBER(AA16+Y16-Datos!J16-K16),AA16+Y16-Datos!J16-K16," - ")</f>
        <v>1823</v>
      </c>
      <c r="G16" s="552">
        <f>IF(ISNUMBER(IF(D_I="SI",Datos!I16,Datos!I16+Datos!AC16)),IF(D_I="SI",Datos!I16,Datos!I16+Datos!AC16)," - ")</f>
        <v>1815</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32</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f>IF(ISNUMBER(IF(D_I="SI",Datos!K16,Datos!K16+Datos!AE16)),IF(D_I="SI",Datos!K16,Datos!K16+Datos!AE16)," - ")</f>
        <v>2235</v>
      </c>
      <c r="Z16" s="805">
        <f>IF(ISNUMBER(Datos!Q16),Datos!Q16," - ")</f>
        <v>56</v>
      </c>
      <c r="AA16" s="551">
        <f>IF(ISNUMBER(IF(D_I="SI",Datos!L16,Datos!L16+Datos!AF16)),IF(D_I="SI",Datos!L16,Datos!L16+Datos!AF16)," - ")</f>
        <v>1525</v>
      </c>
      <c r="AB16" s="549"/>
      <c r="AC16" s="549"/>
      <c r="AD16" s="563"/>
      <c r="AE16" s="563">
        <f>IF(ISNUMBER(Datos!R16),Datos!R16," - ")</f>
        <v>241</v>
      </c>
      <c r="AF16" s="693" t="str">
        <f>IF(ISNUMBER(Datos!BV16),Datos!BV16," - ")</f>
        <v xml:space="preserve"> - </v>
      </c>
      <c r="AG16" s="552"/>
      <c r="AH16" s="553"/>
      <c r="AI16" s="554"/>
      <c r="AJ16" s="552">
        <f>IF(ISNUMBER(Datos!M16),Datos!M16," - ")</f>
        <v>129</v>
      </c>
      <c r="AK16" s="693">
        <f>IF(ISNUMBER(Datos!N16),Datos!N16," - ")</f>
        <v>1438</v>
      </c>
      <c r="AL16" s="693" t="str">
        <f>IF(ISNUMBER(Datos!BW16),Datos!BW16," - ")</f>
        <v xml:space="preserve"> - </v>
      </c>
      <c r="AM16" s="762" t="str">
        <f>IF(ISNUMBER(Datos!BX16),Datos!BX16," - ")</f>
        <v xml:space="preserve"> - </v>
      </c>
      <c r="AN16" s="763"/>
      <c r="AO16" s="764">
        <f>IF(ISNUMBER(((NºAsuntos!I16/NºAsuntos!G16)*11)/factor_trimestre),((NºAsuntos!I16/NºAsuntos!G16)*11)/factor_trimestre," - ")</f>
        <v>2.0469798657718119</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0</v>
      </c>
      <c r="B17" s="746" t="s">
        <v>511</v>
      </c>
      <c r="C17" s="765" t="str">
        <f>Datos!A17</f>
        <v xml:space="preserve">Jdos. 1ª Instª. e Instr.                        </v>
      </c>
      <c r="D17" s="593"/>
      <c r="E17" s="1558">
        <f>IF(ISNUMBER(Datos!AQ17),Datos!AQ17," - ")</f>
        <v>0</v>
      </c>
      <c r="F17" s="543" t="str">
        <f>IF(ISNUMBER(AA17+Y17-Datos!J17-K16),AA17+Y17-Datos!J17-K16," - ")</f>
        <v xml:space="preserve"> - </v>
      </c>
      <c r="G17" s="552" t="str">
        <f>IF(ISNUMBER(IF(D_I="SI",Datos!I17,Datos!I17+Datos!AC17)),IF(D_I="SI",Datos!I17,Datos!I17+Datos!AC17)," - ")</f>
        <v xml:space="preserve"> - </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t="str">
        <f>IF(ISNUMBER(IF(D_I="SI",Datos!K17,Datos!K17+Datos!AE17)),IF(D_I="SI",Datos!K17,Datos!K17+Datos!AE17)," - ")</f>
        <v xml:space="preserve"> - </v>
      </c>
      <c r="Z17" s="805" t="str">
        <f>IF(ISNUMBER(Datos!Q17),Datos!Q17," - ")</f>
        <v xml:space="preserve"> - </v>
      </c>
      <c r="AA17" s="551" t="str">
        <f>IF(ISNUMBER(IF(D_I="SI",Datos!L17,Datos!L17+Datos!AF17)),IF(D_I="SI",Datos!L17,Datos!L17+Datos!AF17)," - ")</f>
        <v xml:space="preserve"> - </v>
      </c>
      <c r="AB17" s="549"/>
      <c r="AC17" s="549"/>
      <c r="AD17" s="563"/>
      <c r="AE17" s="563" t="str">
        <f>IF(ISNUMBER(Datos!R17),Datos!R17," - ")</f>
        <v xml:space="preserve"> - </v>
      </c>
      <c r="AF17" s="693" t="str">
        <f>IF(ISNUMBER(Datos!BV17),Datos!BV17," - ")</f>
        <v xml:space="preserve"> - </v>
      </c>
      <c r="AG17" s="552"/>
      <c r="AH17" s="553"/>
      <c r="AI17" s="554"/>
      <c r="AJ17" s="552" t="str">
        <f>IF(ISNUMBER(Datos!M17),Datos!M17," - ")</f>
        <v xml:space="preserve"> - </v>
      </c>
      <c r="AK17" s="693" t="str">
        <f>IF(ISNUMBER(Datos!N17),Datos!N17," - ")</f>
        <v xml:space="preserve"> - </v>
      </c>
      <c r="AL17" s="693" t="str">
        <f>IF(ISNUMBER(Datos!BW17),Datos!BW17," - ")</f>
        <v xml:space="preserve"> - </v>
      </c>
      <c r="AM17" s="762" t="str">
        <f>IF(ISNUMBER(Datos!BX17),Datos!BX17," - ")</f>
        <v xml:space="preserve"> - </v>
      </c>
      <c r="AN17" s="763"/>
      <c r="AO17" s="764" t="str">
        <f>IF(ISNUMBER(((NºAsuntos!I17/NºAsuntos!G17)*11)/factor_trimestre),((NºAsuntos!I17/NºAsuntos!G17)*11)/factor_trimestre," - ")</f>
        <v xml:space="preserve"> - </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323</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4</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225</v>
      </c>
      <c r="Z18" s="805">
        <f>IF(ISNUMBER(Datos!Q18),Datos!Q18," - ")</f>
        <v>11</v>
      </c>
      <c r="AA18" s="551">
        <f>IF(ISNUMBER(Datos!L18),Datos!L18,"-")</f>
        <v>335</v>
      </c>
      <c r="AB18" s="549"/>
      <c r="AC18" s="549"/>
      <c r="AD18" s="563"/>
      <c r="AE18" s="563">
        <f>IF(ISNUMBER(Datos!R18),Datos!R18," - ")</f>
        <v>25</v>
      </c>
      <c r="AF18" s="693" t="str">
        <f>IF(ISNUMBER(Datos!BV18),Datos!BV18," - ")</f>
        <v xml:space="preserve"> - </v>
      </c>
      <c r="AG18" s="552" t="str">
        <f>IF(ISNUMBER(Datos!DV18),Datos!DV18," - ")</f>
        <v xml:space="preserve"> - </v>
      </c>
      <c r="AH18" s="553"/>
      <c r="AI18" s="554"/>
      <c r="AJ18" s="552">
        <f>IF(ISNUMBER(Datos!M18),Datos!M18," - ")</f>
        <v>39</v>
      </c>
      <c r="AK18" s="693">
        <f>IF(ISNUMBER(Datos!N18),Datos!N18," - ")</f>
        <v>168</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4.4666666666666677</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3</v>
      </c>
      <c r="F23" s="1197">
        <f>SUBTOTAL(9,F16:F22)</f>
        <v>1823</v>
      </c>
      <c r="G23" s="1197">
        <f>SUBTOTAL(9,G16:G22)</f>
        <v>2138</v>
      </c>
      <c r="H23" s="1240">
        <f>SUBTOTAL(9,H16:H22)</f>
        <v>0</v>
      </c>
      <c r="I23" s="1217">
        <f>SUBTOTAL(9,I16:I22)</f>
        <v>0</v>
      </c>
      <c r="J23" s="1164">
        <f>SUBTOTAL(9,J15:J22)</f>
        <v>0</v>
      </c>
      <c r="K23" s="1240">
        <f t="shared" ref="K23:S23" si="5">SUBTOTAL(9,K16:K22)</f>
        <v>0</v>
      </c>
      <c r="L23" s="1240">
        <f t="shared" si="5"/>
        <v>0</v>
      </c>
      <c r="M23" s="1240">
        <f t="shared" si="5"/>
        <v>0</v>
      </c>
      <c r="N23" s="1240">
        <f t="shared" si="5"/>
        <v>36</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2460</v>
      </c>
      <c r="Z23" s="1240">
        <f t="shared" si="6"/>
        <v>67</v>
      </c>
      <c r="AA23" s="1240">
        <f t="shared" si="6"/>
        <v>1860</v>
      </c>
      <c r="AB23" s="1240">
        <f t="shared" si="6"/>
        <v>0</v>
      </c>
      <c r="AC23" s="1240">
        <f t="shared" si="6"/>
        <v>0</v>
      </c>
      <c r="AD23" s="1240">
        <f t="shared" si="6"/>
        <v>0</v>
      </c>
      <c r="AE23" s="1240">
        <f t="shared" si="6"/>
        <v>266</v>
      </c>
      <c r="AF23" s="1240">
        <f t="shared" si="6"/>
        <v>0</v>
      </c>
      <c r="AG23" s="1240">
        <f t="shared" si="6"/>
        <v>0</v>
      </c>
      <c r="AH23" s="1240">
        <f t="shared" si="6"/>
        <v>0</v>
      </c>
      <c r="AI23" s="1240">
        <f t="shared" si="6"/>
        <v>0</v>
      </c>
      <c r="AJ23" s="1240">
        <f t="shared" si="6"/>
        <v>168</v>
      </c>
      <c r="AK23" s="1240">
        <f t="shared" si="6"/>
        <v>1606</v>
      </c>
      <c r="AL23" s="1240">
        <f t="shared" si="6"/>
        <v>0</v>
      </c>
      <c r="AM23" s="1240">
        <f t="shared" si="6"/>
        <v>0</v>
      </c>
      <c r="AN23" s="1240">
        <f t="shared" si="6"/>
        <v>0</v>
      </c>
      <c r="AO23" s="1242">
        <f>IF(ISNUMBER(((NºAsuntos!I23/NºAsuntos!G23)*11)/factor_trimestre),((NºAsuntos!I23/NºAsuntos!G23)*11)/factor_trimestre," - ")</f>
        <v>2.2682926829268291</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8</v>
      </c>
      <c r="F31" s="1117">
        <f t="shared" si="12"/>
        <v>1949</v>
      </c>
      <c r="G31" s="1117">
        <f t="shared" si="12"/>
        <v>2264</v>
      </c>
      <c r="H31" s="1118">
        <f t="shared" si="12"/>
        <v>0</v>
      </c>
      <c r="I31" s="1117">
        <f t="shared" si="12"/>
        <v>0</v>
      </c>
      <c r="J31" s="1119">
        <f t="shared" si="12"/>
        <v>0</v>
      </c>
      <c r="K31" s="1117">
        <f t="shared" si="12"/>
        <v>0</v>
      </c>
      <c r="L31" s="1120">
        <f t="shared" si="12"/>
        <v>0</v>
      </c>
      <c r="M31" s="1117">
        <f t="shared" si="12"/>
        <v>0</v>
      </c>
      <c r="N31" s="1118">
        <f t="shared" si="12"/>
        <v>369</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2498</v>
      </c>
      <c r="Z31" s="1124">
        <f t="shared" si="13"/>
        <v>214</v>
      </c>
      <c r="AA31" s="1125">
        <f t="shared" si="13"/>
        <v>1977</v>
      </c>
      <c r="AB31" s="1125">
        <f t="shared" si="13"/>
        <v>0</v>
      </c>
      <c r="AC31" s="1125">
        <f t="shared" si="13"/>
        <v>0</v>
      </c>
      <c r="AD31" s="1126">
        <f t="shared" si="13"/>
        <v>0</v>
      </c>
      <c r="AE31" s="1126">
        <f t="shared" si="13"/>
        <v>6861</v>
      </c>
      <c r="AF31" s="1127">
        <f t="shared" si="13"/>
        <v>0</v>
      </c>
      <c r="AG31" s="1128">
        <f t="shared" si="13"/>
        <v>0</v>
      </c>
      <c r="AH31" s="1129">
        <f t="shared" si="13"/>
        <v>0</v>
      </c>
      <c r="AI31" s="1127">
        <f t="shared" si="13"/>
        <v>0</v>
      </c>
      <c r="AJ31" s="1117">
        <f t="shared" si="13"/>
        <v>462</v>
      </c>
      <c r="AK31" s="1117">
        <f t="shared" si="13"/>
        <v>2154</v>
      </c>
      <c r="AL31" s="1117">
        <f t="shared" si="13"/>
        <v>0</v>
      </c>
      <c r="AM31" s="1130">
        <f t="shared" si="13"/>
        <v>0</v>
      </c>
      <c r="AN31" s="1120">
        <f>IF(ISNUMBER(Datos!K31/Datos!J31),Datos!K31/Datos!J31," - ")</f>
        <v>1.0007951232441028</v>
      </c>
      <c r="AO31" s="1120">
        <f>IF(ISNUMBER(FIND("06",Criterios!A8,1)),(IF(ISNUMBER(((Datos!R31/Datos!Q31)*11)/factor_trimestre),((Datos!R31/Datos!Q31)*11)/factor_trimestre," - ")),(IF(ISNUMBER(((Datos!L31/Datos!K31)*11)/factor_trimestre),((Datos!L31/Datos!K31)*11)/factor_trimestre," - ")))</f>
        <v>4.0503177966101696</v>
      </c>
      <c r="AP31" s="1131" t="str">
        <f>IF(ISNUMBER(Datos!CI31/Datos!CJ31),Datos!CI31/Datos!CJ31," - ")</f>
        <v xml:space="preserve"> - </v>
      </c>
      <c r="AQ31" s="1131">
        <f>IF(OR(ISNUMBER(FIND("01",Criterios!A8,1)),ISNUMBER(FIND("02",Criterios!A8,1)),ISNUMBER(FIND("03",Criterios!A8,1)),ISNUMBER(FIND("04",Criterios!A8,1))),(J31-Y31+K31)/(F31-K31),(I31-Y31+K31)/(F31-K31))</f>
        <v>-1.2816829143150335</v>
      </c>
      <c r="AR31" s="1131">
        <f>IF(ISNUMBER((Datos!P31-Datos!Q31+O31)/(Datos!R31-Datos!P31+Datos!Q31-O31)),(Datos!P31-Datos!Q31+O31)/(Datos!R31-Datos!P31+Datos!Q31-O31)," - ")</f>
        <v>2.3113629585445869E-2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646.85714285714289</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910.60521998650256</v>
      </c>
      <c r="G33" s="674">
        <f>IF(ISNUMBER(STDEV(G8:G30)),STDEV(G8:G30),"-")</f>
        <v>919.4546261364992</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120.42840196564929</v>
      </c>
      <c r="AK33" s="276"/>
      <c r="AL33" s="276">
        <f>IF(ISNUMBER(STDEV(AL8:AL30)),STDEV(AL8:AL30),"-")</f>
        <v>0</v>
      </c>
      <c r="AM33" s="278">
        <f>IF(ISNUMBER(STDEV(AM8:AM30)),STDEV(AM8:AM30),"-")</f>
        <v>0</v>
      </c>
      <c r="AN33" s="660">
        <f>IF(ISNUMBER(STDEV(AN8:AN30)),STDEV(AN8:AN30),"-")</f>
        <v>0</v>
      </c>
      <c r="AO33" s="661">
        <f>IF(ISNUMBER(STDEV(AO8:AO30)),STDEV(AO8:AO30),"-")</f>
        <v>2.8956857534078981</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yG7NfnsnRwrXORlP0bmaPT0AnnBkk0XdyWCTuNHp5sGz7oo4dbFx4hTGsvWpCjFfDvmpGhVqbisi5ICO7n00cA==" saltValue="nbNBIeE5XXAHwxcsqsl+4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1</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sXEBvrc9qE2Zo7pOvHdEribCyYf3i+bp4Fa5kNLyKE+hIEYbh2Hijo7puB56KJkPnIo40RsrhVaEjx4Y/N3Nog==" saltValue="77Rfi+21b2fKpL3z1Q5lf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ISLAS BALEARES</v>
      </c>
    </row>
    <row r="4" spans="1:155" ht="13.5" thickBot="1">
      <c r="A4" t="str">
        <f>Criterios!A10</f>
        <v>Provincias</v>
      </c>
      <c r="B4" t="str">
        <f>Criterios!B10</f>
        <v>ILLES BALEARS</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2dNGM9TDi3TFhHafaZA50JZKSP+lN8mla2IddP0eyHVYV4sDTF4nMYjGNSkksLQYpg6kyizFJwLMbzI1yss1Q==" saltValue="r6G5FMksmyBSrw9hC+bsg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ISLAS BALEARES</v>
      </c>
      <c r="F1" s="856"/>
    </row>
    <row r="2" spans="1:75" ht="16.5" customHeight="1">
      <c r="C2" s="567" t="str">
        <f>Criterios!A10 &amp;"  "&amp;Criterios!B10 &amp; "  " &amp; IF(NOT(ISBLANK(Criterios!A11)),Criterios!A11 &amp;"  "&amp;Criterios!B11,"")</f>
        <v>Provincias  ILLES BALEARS  Resumenes por Partidos Judiciales  MANACOR</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0.20559440559440559</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0.14537719836982166</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hYooyU0X+CanT6BcF6oNSHt8L2gfGV8yQRzg+G2546r8MVgChas6Ej1uCN7byrbG7JsoYWGCOS23mw8nTPFcXA==" saltValue="KsfW/TTjIws2KFXrEdSgy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VkiFQMOc+U1K4twFx/zzeT993hqZOx2VjH+j3jp9hxtAr14XciJf+clmY96UfmHY5Au5ATvL5eYIHPU5wVZoew==" saltValue="hlwzAXFUTszmtPs72+0fe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ISLAS BALEARES</v>
      </c>
      <c r="C2" s="436"/>
      <c r="D2" s="436"/>
      <c r="E2" s="436"/>
      <c r="F2" s="436"/>
    </row>
    <row r="3" spans="1:14" ht="19.5">
      <c r="A3" s="438" t="s">
        <v>159</v>
      </c>
      <c r="B3" s="439" t="str">
        <f>Criterios!A10 &amp;"  "&amp;Criterios!B10</f>
        <v>Provincias  ILLES BALEARS</v>
      </c>
      <c r="D3" s="436"/>
      <c r="E3" s="436"/>
      <c r="F3" s="436"/>
    </row>
    <row r="4" spans="1:14" ht="13.5" thickBot="1">
      <c r="A4" s="436"/>
      <c r="B4" s="439" t="str">
        <f>Criterios!A11 &amp;"  "&amp;Criterios!B11</f>
        <v>Resumenes por Partidos Judiciales  MANACOR</v>
      </c>
      <c r="C4" s="436"/>
      <c r="D4" s="436"/>
      <c r="E4" s="436"/>
      <c r="F4" s="436"/>
    </row>
    <row r="5" spans="1:14" ht="15.75" customHeight="1">
      <c r="A5" s="1579" t="str">
        <f>"Año:  " &amp;Criterios!B5 &amp; "     Trimestre   " &amp;Criterios!D5 &amp; " al " &amp;Criterios!D6</f>
        <v>Año:  2022     Trimestre   1 al 1</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5</v>
      </c>
      <c r="C9" s="451">
        <f>IF(ISNUMBER(IF(J_V="SI",Datos!I9,Datos!I9+Datos!Y9)),IF(J_V="SI",Datos!I9,Datos!I9+Datos!Y9)," - ")</f>
        <v>2937</v>
      </c>
      <c r="D9" s="452">
        <f>IF(ISNUMBER(C9/Datos!BH9),C9/Datos!BH9," - ")</f>
        <v>587.4</v>
      </c>
      <c r="E9" s="451">
        <f>IF(ISNUMBER(IF(J_V="SI",Datos!J9,Datos!J9+Datos!Z9)),IF(J_V="SI",Datos!J9,Datos!J9+Datos!Z9)," - ")</f>
        <v>1702</v>
      </c>
      <c r="F9" s="452">
        <f>IF(ISNUMBER(E9/B9),E9/B9," - ")</f>
        <v>340.4</v>
      </c>
      <c r="G9" s="451">
        <f>IF(ISNUMBER(IF(J_V="SI",Datos!K9,Datos!K9+Datos!AA9)),IF(J_V="SI",Datos!K9,Datos!K9+Datos!AA9)," - ")</f>
        <v>1392</v>
      </c>
      <c r="H9" s="452">
        <f>IF(ISNUMBER(G9/B9),G9/B9," - ")</f>
        <v>278.39999999999998</v>
      </c>
      <c r="I9" s="451">
        <f>IF(ISNUMBER(IF(J_V="SI",Datos!L9,Datos!L9+Datos!AB9)),IF(J_V="SI",Datos!L9,Datos!L9+Datos!AB9)," - ")</f>
        <v>3247</v>
      </c>
      <c r="J9" s="452">
        <f>IF(ISNUMBER(I9/B9),I9/B9," - ")</f>
        <v>649.4</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126</v>
      </c>
      <c r="D10" s="452">
        <f>IF(ISNUMBER(C10/Datos!BH10),C10/Datos!BH10," - ")</f>
        <v>126</v>
      </c>
      <c r="E10" s="451">
        <f>IF(ISNUMBER(Datos!J10),Datos!J10," - ")</f>
        <v>29</v>
      </c>
      <c r="F10" s="452">
        <f>IF(ISNUMBER(E10/B10),E10/B10," - ")</f>
        <v>29</v>
      </c>
      <c r="G10" s="451">
        <f>IF(ISNUMBER(Datos!K10),Datos!K10," - ")</f>
        <v>38</v>
      </c>
      <c r="H10" s="452">
        <f>IF(ISNUMBER(G10/B10),G10/B10," - ")</f>
        <v>38</v>
      </c>
      <c r="I10" s="451">
        <f>IF(ISNUMBER(Datos!L10),Datos!L10," - ")</f>
        <v>117</v>
      </c>
      <c r="J10" s="452">
        <f>IF(ISNUMBER(I10/B10),I10/B10," - ")</f>
        <v>117</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0</v>
      </c>
      <c r="C12" s="451">
        <f>IF(ISNUMBER(IF(J_V="SI",Datos!I12,Datos!I12+Datos!Y12)),IF(J_V="SI",Datos!I12,Datos!I12+Datos!Y12)," - ")</f>
        <v>0</v>
      </c>
      <c r="D12" s="452" t="str">
        <f>IF(ISNUMBER(C12/Datos!BH12),C12/Datos!BH12," - ")</f>
        <v xml:space="preserve"> - </v>
      </c>
      <c r="E12" s="451">
        <f>IF(ISNUMBER(IF(J_V="SI",Datos!J12,Datos!J12+Datos!Z12)),IF(J_V="SI",Datos!J12,Datos!J12+Datos!Z12)," - ")</f>
        <v>0</v>
      </c>
      <c r="F12" s="452" t="str">
        <f>IF(ISNUMBER(E12/B12),E12/B12," - ")</f>
        <v xml:space="preserve"> - </v>
      </c>
      <c r="G12" s="451">
        <f>IF(ISNUMBER(IF(J_V="SI",Datos!K12,Datos!K12+Datos!AA12)),IF(J_V="SI",Datos!K12,Datos!K12+Datos!AA12)," - ")</f>
        <v>0</v>
      </c>
      <c r="H12" s="452" t="str">
        <f>IF(ISNUMBER(G12/B12),G12/B12," - ")</f>
        <v xml:space="preserve"> - </v>
      </c>
      <c r="I12" s="451">
        <f>IF(ISNUMBER(IF(J_V="SI",Datos!L12,Datos!L12+Datos!AB12)),IF(J_V="SI",Datos!L12,Datos!L12+Datos!AB12)," - ")</f>
        <v>0</v>
      </c>
      <c r="J12" s="452" t="str">
        <f>IF(ISNUMBER(I12/B12),I12/B12," - ")</f>
        <v xml:space="preserve"> - </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5</v>
      </c>
      <c r="C14" s="1146">
        <f>SUBTOTAL(9,C8:C13)</f>
        <v>3063</v>
      </c>
      <c r="D14" s="1147" t="str">
        <f>IF(ISNUMBER(C14/Datos!BI14),C14/Datos!BI14," - ")</f>
        <v xml:space="preserve"> - </v>
      </c>
      <c r="E14" s="1146">
        <f>SUBTOTAL(9,E8:E13)</f>
        <v>1731</v>
      </c>
      <c r="F14" s="1147">
        <f>IF(ISNUMBER(E14/B14),E14/B14," - ")</f>
        <v>346.2</v>
      </c>
      <c r="G14" s="1146">
        <f>SUBTOTAL(9,G8:G13)</f>
        <v>1430</v>
      </c>
      <c r="H14" s="1147">
        <f>IF(ISNUMBER(G14/B14),G14/B14," - ")</f>
        <v>286</v>
      </c>
      <c r="I14" s="1146">
        <f>SUBTOTAL(9,I8:I13)</f>
        <v>3364</v>
      </c>
      <c r="J14" s="1147">
        <f>IF(ISNUMBER(I14/B14),I14/B14," - ")</f>
        <v>672.8</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3</v>
      </c>
      <c r="C16" s="451">
        <f>IF(ISNUMBER(IF(D_I="SI",Datos!I16,Datos!I16+Datos!AC16)),IF(D_I="SI",Datos!I16,Datos!I16+Datos!AC16)," - ")</f>
        <v>1815</v>
      </c>
      <c r="D16" s="452">
        <f>IF(ISNUMBER(C16/Datos!BH16),C16/Datos!BH16," - ")</f>
        <v>605</v>
      </c>
      <c r="E16" s="451">
        <f>IF(ISNUMBER(IF(D_I="SI",Datos!J16,Datos!J16+Datos!AD16)),IF(D_I="SI",Datos!J16,Datos!J16+Datos!AD16)," - ")</f>
        <v>1937</v>
      </c>
      <c r="F16" s="452">
        <f>IF(ISNUMBER(E16/B16),E16/B16," - ")</f>
        <v>645.66666666666663</v>
      </c>
      <c r="G16" s="451">
        <f>IF(ISNUMBER(IF(D_I="SI",Datos!K16,Datos!K16+Datos!AE16)),IF(D_I="SI",Datos!K16,Datos!K16+Datos!AE16)," - ")</f>
        <v>2235</v>
      </c>
      <c r="H16" s="452">
        <f>IF(ISNUMBER(G16/B16),G16/B16," - ")</f>
        <v>745</v>
      </c>
      <c r="I16" s="451">
        <f>IF(ISNUMBER(IF(D_I="SI",Datos!L16,Datos!L16+Datos!AF16)),IF(D_I="SI",Datos!L16,Datos!L16+Datos!AF16)," - ")</f>
        <v>1525</v>
      </c>
      <c r="J16" s="452">
        <f>IF(ISNUMBER(I16/B16),I16/B16," - ")</f>
        <v>508.33333333333331</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0</v>
      </c>
      <c r="C17" s="451" t="str">
        <f>IF(ISNUMBER(IF(D_I="SI",Datos!I17,Datos!I17+Datos!AC17)),IF(D_I="SI",Datos!I17,Datos!I17+Datos!AC17)," - ")</f>
        <v xml:space="preserve"> - </v>
      </c>
      <c r="D17" s="452" t="str">
        <f>IF(ISNUMBER(C17/Datos!BH17),C17/Datos!BH17," - ")</f>
        <v xml:space="preserve"> - </v>
      </c>
      <c r="E17" s="451" t="str">
        <f>IF(ISNUMBER(IF(D_I="SI",Datos!J17,Datos!J17+Datos!AD17)),IF(D_I="SI",Datos!J17,Datos!J17+Datos!AD17)," - ")</f>
        <v xml:space="preserve"> - </v>
      </c>
      <c r="F17" s="452" t="str">
        <f>IF(ISNUMBER(E17/B17),E17/B17," - ")</f>
        <v xml:space="preserve"> - </v>
      </c>
      <c r="G17" s="451" t="str">
        <f>IF(ISNUMBER(IF(D_I="SI",Datos!K17,Datos!K17+Datos!AE17)),IF(D_I="SI",Datos!K17,Datos!K17+Datos!AE17)," - ")</f>
        <v xml:space="preserve"> - </v>
      </c>
      <c r="H17" s="452" t="str">
        <f>IF(ISNUMBER(G17/B17),G17/B17," - ")</f>
        <v xml:space="preserve"> - </v>
      </c>
      <c r="I17" s="451" t="str">
        <f>IF(ISNUMBER(IF(D_I="SI",Datos!L17,Datos!L17+Datos!AF17)),IF(D_I="SI",Datos!L17,Datos!L17+Datos!AF17)," - ")</f>
        <v xml:space="preserve"> - </v>
      </c>
      <c r="J17" s="452" t="str">
        <f>IF(ISNUMBER(I17/B17),I17/B17," - ")</f>
        <v xml:space="preserve"> - </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323</v>
      </c>
      <c r="D18" s="452">
        <f>IF(ISNUMBER(C18/Datos!BH18),C18/Datos!BH18," - ")</f>
        <v>323</v>
      </c>
      <c r="E18" s="451">
        <f>IF(ISNUMBER(IF(D_I="SI",Datos!J18,Datos!J18+Datos!AD18)),IF(D_I="SI",Datos!J18,Datos!J18+Datos!AD18)," - ")</f>
        <v>237</v>
      </c>
      <c r="F18" s="452">
        <f>IF(ISNUMBER(E18/B18),E18/B18," - ")</f>
        <v>237</v>
      </c>
      <c r="G18" s="451">
        <f>IF(ISNUMBER(IF(D_I="SI",Datos!K18,Datos!K18+Datos!AE18)),IF(D_I="SI",Datos!K18,Datos!K18+Datos!AE18)," - ")</f>
        <v>225</v>
      </c>
      <c r="H18" s="452">
        <f>IF(ISNUMBER(G18/B18),G18/B18," - ")</f>
        <v>225</v>
      </c>
      <c r="I18" s="451">
        <f>IF(ISNUMBER(IF(D_I="SI",Datos!L18,Datos!L18+Datos!AF18)),IF(D_I="SI",Datos!L18,Datos!L18+Datos!AF18)," - ")</f>
        <v>335</v>
      </c>
      <c r="J18" s="452">
        <f>IF(ISNUMBER(I18/B18),I18/B18," - ")</f>
        <v>335</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3</v>
      </c>
      <c r="C23" s="1146">
        <f>SUBTOTAL(9,C15:C22)</f>
        <v>2138</v>
      </c>
      <c r="D23" s="1147" t="str">
        <f>IF(ISNUMBER(C23/Datos!BI23),C23/Datos!BI23," - ")</f>
        <v xml:space="preserve"> - </v>
      </c>
      <c r="E23" s="1146">
        <f>SUBTOTAL(9,E15:E22)</f>
        <v>2174</v>
      </c>
      <c r="F23" s="1147">
        <f>IF(ISNUMBER(E23/B23),E23/B23," - ")</f>
        <v>724.66666666666663</v>
      </c>
      <c r="G23" s="1146">
        <f>SUBTOTAL(9,G15:G22)</f>
        <v>2460</v>
      </c>
      <c r="H23" s="1147">
        <f>IF(ISNUMBER(G23/B23),G23/B23," - ")</f>
        <v>820</v>
      </c>
      <c r="I23" s="1146">
        <f>SUBTOTAL(9,I15:I22)</f>
        <v>1860</v>
      </c>
      <c r="J23" s="1147">
        <f>IF(ISNUMBER(I23/B23),I23/B23," - ")</f>
        <v>620</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8</v>
      </c>
      <c r="C31" s="1084">
        <f>SUBTOTAL(9,C9:C30)</f>
        <v>5201</v>
      </c>
      <c r="D31" s="1085" t="str">
        <f>IF(ISNUMBER(C31/Datos!BI31),C31/Datos!BI31," - ")</f>
        <v xml:space="preserve"> - </v>
      </c>
      <c r="E31" s="1084">
        <f>SUBTOTAL(9,E9:E30)</f>
        <v>3905</v>
      </c>
      <c r="F31" s="1085">
        <f>IF(ISNUMBER(E31/B31),E31/B31," - ")</f>
        <v>488.125</v>
      </c>
      <c r="G31" s="1084">
        <f>SUBTOTAL(9,G9:G30)</f>
        <v>3890</v>
      </c>
      <c r="H31" s="1085">
        <f>IF(ISNUMBER(G31/B31),G31/B31," - ")</f>
        <v>486.25</v>
      </c>
      <c r="I31" s="1084">
        <f>SUBTOTAL(9,I9:I30)</f>
        <v>5224</v>
      </c>
      <c r="J31" s="1085">
        <f>IF(ISNUMBER(I31/B31),I31/B31," - ")</f>
        <v>653</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8LgszBoaXHEO0I/ZW+DbQm/+kuuoEZFGStmHOgaVI2Gr8GOZyWnsPt4J/ZfXGABSg8XhiU91BMjQRAacIUkscw==" saltValue="irrqvtkWbehfsI5U3IQo3w=="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ISLAS BALEARES</v>
      </c>
      <c r="F1" s="856"/>
      <c r="W1"/>
      <c r="X1"/>
      <c r="BE1" s="856"/>
    </row>
    <row r="2" spans="1:65" ht="16.5" customHeight="1">
      <c r="C2" s="567" t="str">
        <f>Criterios!A10 &amp;"  "&amp;Criterios!B10 &amp; "  " &amp; IF(NOT(ISBLANK(Criterios!A11)),Criterios!A11 &amp;"  "&amp;Criterios!B11,"")</f>
        <v>Provincias  ILLES BALEARS  Resumenes por Partidos Judiciales  MANACOR</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1 al 1</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5</v>
      </c>
      <c r="B9" s="745" t="s">
        <v>321</v>
      </c>
      <c r="C9" s="765" t="str">
        <f>Datos!A9</f>
        <v xml:space="preserve">Jdos. 1ª Instancia   </v>
      </c>
      <c r="D9" s="593"/>
      <c r="E9" s="904">
        <f>IF(ISNUMBER(Datos!AQ9),Datos!AQ9," - ")</f>
        <v>5</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126</v>
      </c>
      <c r="G10" s="906">
        <f>IF(ISNUMBER(Datos!I10),Datos!I10," - ")</f>
        <v>126</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5</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38</v>
      </c>
      <c r="AC10" s="905" t="str">
        <f>IF(ISNUMBER(IF(D_I="SI",DatosP!K18,DatosP!K18+DatosP!AE18)),IF(D_I="SI",DatosP!K18,DatosP!K18+DatosP!AE18)," - ")</f>
        <v xml:space="preserve"> - </v>
      </c>
      <c r="AD10" s="907"/>
      <c r="AE10" s="907"/>
      <c r="AF10" s="910">
        <f>IF(ISNUMBER(Datos!L10),Datos!L10,"-")</f>
        <v>117</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15</v>
      </c>
      <c r="AM10" s="914">
        <f>IF(ISNUMBER(Datos!N10+DatosP!N18),Datos!N10+DatosP!N18," - ")</f>
        <v>14</v>
      </c>
      <c r="AN10" s="914">
        <f>IF(ISNUMBER(Datos!BW10+DatosP!BW18),Datos!BW10+DatosP!BW18," - ")</f>
        <v>0</v>
      </c>
      <c r="AO10" s="915">
        <f>IF(ISNUMBER(Datos!BX10+DatosP!BX18),Datos!BX10+DatosP!BX18," - ")</f>
        <v>0</v>
      </c>
      <c r="AP10" s="917">
        <f>IF(ISNUMBER(((Datos!L10/Datos!K10)*11)/factor_trimestre),((Datos!L10/Datos!K10)*11)/factor_trimestre," - ")</f>
        <v>9.2368421052631593</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0</v>
      </c>
      <c r="B12" s="746" t="s">
        <v>321</v>
      </c>
      <c r="C12" s="747" t="str">
        <f>Datos!A12</f>
        <v xml:space="preserve">Jdos. 1ª Instª. e Instr.                        </v>
      </c>
      <c r="D12" s="601"/>
      <c r="E12" s="904">
        <f>IF(ISNUMBER(Datos!AQ12),Datos!AQ12," - ")</f>
        <v>0</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0</v>
      </c>
      <c r="O12" s="907">
        <f>IF(ISNUMBER(DatosP!P17),DatosP!P17,0)</f>
        <v>0</v>
      </c>
      <c r="P12" s="907" t="str">
        <f>IF(ISNUMBER(DatosP!DE17),DatosP!DE17," - ")</f>
        <v xml:space="preserve"> - </v>
      </c>
      <c r="Q12" s="908"/>
      <c r="R12" s="908"/>
      <c r="S12" s="907" t="str">
        <f>IF(ISNUMBER(Datos!AS12*(2500/380)+DatosP!AS17),Datos!AS12*(2500/380)+DatosP!AS17," - ")</f>
        <v xml:space="preserve"> - </v>
      </c>
      <c r="T12" s="907" t="str">
        <f>IF(ISNUMBER(DatosP!AS17/E12),DatosP!AS17/E12," - ")</f>
        <v xml:space="preserve"> - </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0</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11</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0</v>
      </c>
      <c r="AM12" s="914">
        <f>IF(ISNUMBER(Datos!N12+DatosP!N17),Datos!N12+DatosP!N17," - ")</f>
        <v>0</v>
      </c>
      <c r="AN12" s="914">
        <f>IF(ISNUMBER(Datos!BW12+DatosP!BW17),Datos!BW12+DatosP!BW17," - ")</f>
        <v>0</v>
      </c>
      <c r="AO12" s="915">
        <f>IF(ISNUMBER(Datos!BX12+DatosP!BX17),Datos!BX12+DatosP!BX17," - ")</f>
        <v>0</v>
      </c>
      <c r="AP12" s="917" t="str">
        <f>IF(ISNUMBER(((IF(J_V="SI",Datos!L12/Datos!K12,(Datos!L12+Datos!AB12)/(Datos!K12+Datos!AA12)))*11)/factor_trimestre),((IF(J_V="SI",Datos!L12/Datos!K12,(Datos!L12+Datos!AB12)/(Datos!K12+Datos!AA12)))*11)/factor_trimestre," - ")</f>
        <v xml:space="preserve"> - </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0</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5</v>
      </c>
      <c r="F14" s="1256">
        <f t="shared" si="0"/>
        <v>126</v>
      </c>
      <c r="G14" s="1256">
        <f t="shared" si="0"/>
        <v>126</v>
      </c>
      <c r="H14" s="1256">
        <f t="shared" si="0"/>
        <v>0</v>
      </c>
      <c r="I14" s="1258">
        <f t="shared" si="0"/>
        <v>0</v>
      </c>
      <c r="J14" s="1257">
        <f t="shared" si="0"/>
        <v>0</v>
      </c>
      <c r="K14" s="1257">
        <f t="shared" si="0"/>
        <v>0</v>
      </c>
      <c r="L14" s="1259">
        <f t="shared" si="0"/>
        <v>0</v>
      </c>
      <c r="M14" s="1259">
        <f t="shared" si="0"/>
        <v>0</v>
      </c>
      <c r="N14" s="1257">
        <f t="shared" si="0"/>
        <v>5</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38</v>
      </c>
      <c r="AC14" s="1257">
        <f t="shared" si="1"/>
        <v>0</v>
      </c>
      <c r="AD14" s="1257">
        <f t="shared" si="1"/>
        <v>0</v>
      </c>
      <c r="AE14" s="1257">
        <f t="shared" si="1"/>
        <v>0</v>
      </c>
      <c r="AF14" s="1257">
        <f t="shared" si="1"/>
        <v>117</v>
      </c>
      <c r="AG14" s="1257">
        <f t="shared" si="1"/>
        <v>0</v>
      </c>
      <c r="AH14" s="1257">
        <f t="shared" si="1"/>
        <v>11</v>
      </c>
      <c r="AI14" s="1257">
        <f t="shared" si="1"/>
        <v>0</v>
      </c>
      <c r="AJ14" s="1257">
        <f t="shared" si="1"/>
        <v>0</v>
      </c>
      <c r="AK14" s="1257">
        <f t="shared" si="1"/>
        <v>0</v>
      </c>
      <c r="AL14" s="1257">
        <f t="shared" si="1"/>
        <v>15</v>
      </c>
      <c r="AM14" s="1257">
        <f t="shared" si="1"/>
        <v>14</v>
      </c>
      <c r="AN14" s="1257">
        <f t="shared" si="1"/>
        <v>0</v>
      </c>
      <c r="AO14" s="1257">
        <f t="shared" si="1"/>
        <v>0</v>
      </c>
      <c r="AP14" s="1262">
        <f>IF(ISNUMBER(((Datos!L14/Datos!K14)*11)/factor_trimestre),((Datos!L14/Datos!K14)*11)/factor_trimestre," - ")</f>
        <v>7.3814589665653489</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-0.30158730158730157</v>
      </c>
      <c r="AU14" s="1257" t="str">
        <f>IF(ISNUMBER((DatosP!#REF!-DatosP!#REF!+DatosP!#REF!)/(DatosP!#REF!+DatosP!#REF!-DatosP!#REF!-DatosP!#REF!)),(DatosP!#REF!-DatosP!#REF!+DatosP!#REF!)/(DatosP!#REF!+DatosP!#REF!-DatosP!#REF!-DatosP!#REF!)," - ")</f>
        <v xml:space="preserve"> - </v>
      </c>
      <c r="AV14" s="1263">
        <f>SUBTOTAL(9,AV9:AV13)</f>
        <v>0</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3</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0</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2.2682926829268291</v>
      </c>
      <c r="AQ23" s="1262">
        <f>IF(ISNUMBER(((Datos!M23/Datos!L23)*11)/factor_trimestre),((Datos!M23/Datos!L23)*11)/factor_trimestre," - ")</f>
        <v>0.2709677419354839</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-0.10437710437710437</v>
      </c>
      <c r="AW23" s="1265">
        <f>IF(ISNUMBER((Datos!Q23-Datos!R23)/(Datos!S23-Datos!Q23+Datos!R23)),(Datos!Q23-Datos!R23)/(Datos!S23-Datos!Q23+Datos!R23)," - ")</f>
        <v>-7.0667613636363633E-2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5</v>
      </c>
      <c r="F31" s="1278">
        <f t="shared" si="8"/>
        <v>126</v>
      </c>
      <c r="G31" s="1278">
        <f t="shared" si="8"/>
        <v>126</v>
      </c>
      <c r="H31" s="1278">
        <f t="shared" si="8"/>
        <v>0</v>
      </c>
      <c r="I31" s="1279">
        <f t="shared" si="8"/>
        <v>0</v>
      </c>
      <c r="J31" s="1280">
        <f t="shared" si="8"/>
        <v>0</v>
      </c>
      <c r="K31" s="1280">
        <f t="shared" si="8"/>
        <v>0</v>
      </c>
      <c r="L31" s="1280">
        <f t="shared" si="8"/>
        <v>0</v>
      </c>
      <c r="M31" s="1280">
        <f t="shared" si="8"/>
        <v>0</v>
      </c>
      <c r="N31" s="1279">
        <f t="shared" si="8"/>
        <v>5</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38</v>
      </c>
      <c r="AC31" s="1284">
        <f t="shared" si="9"/>
        <v>0</v>
      </c>
      <c r="AD31" s="1284">
        <f t="shared" si="9"/>
        <v>0</v>
      </c>
      <c r="AE31" s="1284">
        <f t="shared" si="9"/>
        <v>0</v>
      </c>
      <c r="AF31" s="1285">
        <f t="shared" si="9"/>
        <v>117</v>
      </c>
      <c r="AG31" s="1285">
        <f t="shared" si="9"/>
        <v>0</v>
      </c>
      <c r="AH31" s="1285">
        <f t="shared" si="9"/>
        <v>11</v>
      </c>
      <c r="AI31" s="1285">
        <f t="shared" si="9"/>
        <v>0</v>
      </c>
      <c r="AJ31" s="1286">
        <f t="shared" si="9"/>
        <v>0</v>
      </c>
      <c r="AK31" s="1286">
        <f t="shared" si="9"/>
        <v>0</v>
      </c>
      <c r="AL31" s="1278">
        <f t="shared" si="9"/>
        <v>15</v>
      </c>
      <c r="AM31" s="1278">
        <f t="shared" si="9"/>
        <v>14</v>
      </c>
      <c r="AN31" s="1278">
        <f t="shared" si="9"/>
        <v>0</v>
      </c>
      <c r="AO31" s="1278">
        <f t="shared" si="9"/>
        <v>0</v>
      </c>
      <c r="AP31" s="1278">
        <f>IF(ISNUMBER(((Datos!L31/Datos!K31)*11)/factor_trimestre),((Datos!L31/Datos!K31)*11)/factor_trimestre," - ")</f>
        <v>4.0503177966101696</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-0.30158730158730157</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2.3113629585445869E-2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50.4</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2.2047927592204921</v>
      </c>
      <c r="F33" s="1006">
        <f>IF(ISNUMBER(STDEV(F8:F30)),STDEV(F8:F30),"-")</f>
        <v>69.013042245650936</v>
      </c>
      <c r="G33" s="1007">
        <f>IF(ISNUMBER(STDEV(G8:G30)),STDEV(G8:G30),"-")</f>
        <v>69.013042245650936</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20.813457185196313</v>
      </c>
      <c r="AC33" s="1008">
        <f>IF(ISNUMBER(STDEV(AC8:AC30)),STDEV(AC8:AC30),"-")</f>
        <v>0</v>
      </c>
      <c r="AD33" s="1011"/>
      <c r="AE33" s="1011"/>
      <c r="AF33" s="1011"/>
      <c r="AG33" s="1011"/>
      <c r="AH33" s="1011"/>
      <c r="AI33" s="1011"/>
      <c r="AJ33" s="1012">
        <f>IF(ISNUMBER(STDEV(AJ8:AJ30)),STDEV(AJ8:AJ30),"-")</f>
        <v>0</v>
      </c>
      <c r="AK33" s="1014"/>
      <c r="AL33" s="1006">
        <f>IF(ISNUMBER(STDEV(AL8:AL30)),STDEV(AL8:AL30),"-")</f>
        <v>7.745966692414834</v>
      </c>
      <c r="AM33" s="1006"/>
      <c r="AN33" s="1006">
        <f>IF(ISNUMBER(STDEV(AN8:AN30)),STDEV(AN8:AN30),"-")</f>
        <v>0</v>
      </c>
      <c r="AO33" s="1012">
        <f>IF(ISNUMBER(STDEV(AO8:AO30)),STDEV(AO8:AO30),"-")</f>
        <v>0</v>
      </c>
      <c r="AP33" s="1065">
        <f>IF(ISNUMBER(STDEV(AP8:AP30)),STDEV(AP8:AP30),"-")</f>
        <v>3.608961002076311</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8EUoJzK7p1vQckDj/ZfjiOTB4MDip1DTue5U7pZuCYQOLmSvNF5HMky7x+PHXZILgTbg/qbtI5yTxkri6ioFNg==" saltValue="NgsJJPOusfsL/R5GyMF59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ISLAS BALEARES</v>
      </c>
      <c r="C2" s="436"/>
      <c r="E2" s="436"/>
      <c r="F2" s="436"/>
      <c r="G2" s="436"/>
      <c r="H2" s="436"/>
    </row>
    <row r="3" spans="1:15" ht="39">
      <c r="A3" s="463" t="s">
        <v>280</v>
      </c>
      <c r="B3" s="439" t="str">
        <f>Criterios!A10 &amp;"  "&amp;Criterios!B10</f>
        <v>Provincias  ILLES BALEARS</v>
      </c>
      <c r="C3" s="463"/>
      <c r="F3" s="436"/>
      <c r="G3" s="436"/>
      <c r="H3" s="436"/>
    </row>
    <row r="4" spans="1:15" ht="13.5" thickBot="1">
      <c r="A4" s="436"/>
      <c r="B4" s="439" t="str">
        <f>Criterios!A11 &amp;"  "&amp;Criterios!B11</f>
        <v>Resumenes por Partidos Judiciales  MANACOR</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5</v>
      </c>
      <c r="D9" s="451">
        <f>Datos!BK9</f>
        <v>0</v>
      </c>
      <c r="E9" s="451">
        <f>Datos!AQ9</f>
        <v>5</v>
      </c>
      <c r="F9" s="452">
        <f>IF(ISNUMBER(E9/Datos!BH9),E9/Datos!BH9," - ")</f>
        <v>1</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0</v>
      </c>
      <c r="D12" s="451">
        <f>Datos!BK12</f>
        <v>0</v>
      </c>
      <c r="E12" s="451">
        <f>Datos!AQ12</f>
        <v>0</v>
      </c>
      <c r="F12" s="452" t="str">
        <f>IF(ISNUMBER(E12/Datos!BH12),E12/Datos!BH12," - ")</f>
        <v xml:space="preserve"> - </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3</v>
      </c>
      <c r="D16" s="451">
        <f>Datos!BK16</f>
        <v>0</v>
      </c>
      <c r="E16" s="451">
        <f>Datos!AQ16</f>
        <v>3</v>
      </c>
      <c r="F16" s="452">
        <f>IF(ISNUMBER(E16/Datos!BH16),E16/Datos!BH16," - ")</f>
        <v>1</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0</v>
      </c>
      <c r="D17" s="451">
        <f>Datos!BK17</f>
        <v>0</v>
      </c>
      <c r="E17" s="451">
        <f>Datos!AQ17</f>
        <v>0</v>
      </c>
      <c r="F17" s="452" t="str">
        <f>IF(ISNUMBER(E17/Datos!BH17),E17/Datos!BH17," - ")</f>
        <v xml:space="preserve"> - </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h6PnD9aq+YfNpDTBsIjR1IKAJlwc9yLzV6ZCEgkdvn3W6Ty7I3k2wQyeQvP5M37bYkytTWtbgfyBdOpAAtStGw==" saltValue="7xta9lpiYSf3VZ6vHEBJzQ=="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ISLAS BALEARES</v>
      </c>
      <c r="C2" s="475"/>
      <c r="D2" s="418"/>
    </row>
    <row r="3" spans="1:9" ht="19.5">
      <c r="A3" s="476" t="s">
        <v>16</v>
      </c>
      <c r="B3" s="477" t="str">
        <f>Criterios!A10 &amp;"  "&amp;Criterios!B10</f>
        <v>Provincias  ILLES BALEARS</v>
      </c>
      <c r="C3" s="475"/>
      <c r="D3" s="476"/>
    </row>
    <row r="4" spans="1:9" ht="13.5" thickBot="1">
      <c r="B4" s="477" t="str">
        <f>Criterios!A11 &amp;"  "&amp;Criterios!B11</f>
        <v>Resumenes por Partidos Judiciales  MANACOR</v>
      </c>
    </row>
    <row r="5" spans="1:9" ht="15.75" customHeight="1">
      <c r="A5" s="1591" t="str">
        <f>"Año:  " &amp;Criterios!B5 &amp; "                  Trimestre   " &amp;Criterios!D5 &amp; " al " &amp;Criterios!D6</f>
        <v>Año:  2022                  Trimestre   1 al 1</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5</v>
      </c>
      <c r="C9" s="458">
        <f>Datos!AQ9</f>
        <v>5</v>
      </c>
      <c r="D9" s="451">
        <f>IF(ISNUMBER(Datos!M9),Datos!M9," - ")</f>
        <v>279</v>
      </c>
      <c r="E9" s="452">
        <f t="shared" ref="E9:E14" si="0">IF(ISNUMBER(D9/B9),D9/B9," - ")</f>
        <v>55.8</v>
      </c>
      <c r="F9" s="451">
        <f>IF(ISNUMBER(Datos!N9),Datos!N9," - ")</f>
        <v>534</v>
      </c>
      <c r="G9" s="452">
        <f t="shared" ref="G9:G14" si="1">IF(ISNUMBER(F9/B9),F9/B9," - ")</f>
        <v>106.8</v>
      </c>
      <c r="H9" s="451">
        <f>IF(ISNUMBER(Datos!O9),Datos!O9," - ")</f>
        <v>676</v>
      </c>
      <c r="I9" s="452">
        <f>IF(ISNUMBER(H9/B9),H9/B9," - ")</f>
        <v>135.19999999999999</v>
      </c>
    </row>
    <row r="10" spans="1:9">
      <c r="A10" s="450" t="str">
        <f>Datos!A10</f>
        <v>Jdos. Violencia contra la mujer</v>
      </c>
      <c r="B10" s="480">
        <f>Datos!AO10</f>
        <v>1</v>
      </c>
      <c r="C10" s="458">
        <f>Datos!AQ10</f>
        <v>0</v>
      </c>
      <c r="D10" s="451">
        <f>IF(ISNUMBER(Datos!M10),Datos!M10," - ")</f>
        <v>15</v>
      </c>
      <c r="E10" s="452">
        <f>IF(ISNUMBER(D10/B10),D10/B10," - ")</f>
        <v>15</v>
      </c>
      <c r="F10" s="451">
        <f>IF(ISNUMBER(Datos!N10),Datos!N10," - ")</f>
        <v>14</v>
      </c>
      <c r="G10" s="452">
        <f>IF(ISNUMBER(F10/B10),F10/B10," - ")</f>
        <v>14</v>
      </c>
      <c r="H10" s="451">
        <f>IF(ISNUMBER(Datos!O10),Datos!O10," - ")</f>
        <v>19</v>
      </c>
      <c r="I10" s="452">
        <f t="shared" ref="I10:I13" si="2">IF(ISNUMBER(H10/B10),H10/B10," - ")</f>
        <v>19</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0</v>
      </c>
      <c r="C12" s="458">
        <f>Datos!AQ12</f>
        <v>0</v>
      </c>
      <c r="D12" s="451">
        <f>IF(ISNUMBER(Datos!M12),Datos!M12," - ")</f>
        <v>0</v>
      </c>
      <c r="E12" s="452" t="str">
        <f t="shared" si="0"/>
        <v xml:space="preserve"> - </v>
      </c>
      <c r="F12" s="451">
        <f>IF(ISNUMBER(Datos!N12),Datos!N12," - ")</f>
        <v>0</v>
      </c>
      <c r="G12" s="452" t="str">
        <f t="shared" si="1"/>
        <v xml:space="preserve"> - </v>
      </c>
      <c r="H12" s="451">
        <f>IF(ISNUMBER(Datos!O12),Datos!O12," - ")</f>
        <v>0</v>
      </c>
      <c r="I12" s="452" t="str">
        <f t="shared" si="2"/>
        <v xml:space="preserve"> - </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6</v>
      </c>
      <c r="C14" s="1148">
        <f>Datos!AR14</f>
        <v>5</v>
      </c>
      <c r="D14" s="1146">
        <f>SUBTOTAL(9,D9:D13)</f>
        <v>294</v>
      </c>
      <c r="E14" s="1147">
        <f t="shared" si="0"/>
        <v>49</v>
      </c>
      <c r="F14" s="1146">
        <f>SUBTOTAL(9,F9:F13)</f>
        <v>548</v>
      </c>
      <c r="G14" s="1147">
        <f t="shared" si="1"/>
        <v>91.333333333333329</v>
      </c>
      <c r="H14" s="1146">
        <f>SUBTOTAL(9,H9:H13)</f>
        <v>695</v>
      </c>
      <c r="I14" s="1147">
        <f>IF(ISNUMBER(H14/B14),H14/B14," - ")</f>
        <v>115.83333333333333</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3</v>
      </c>
      <c r="C16" s="481">
        <f>Datos!AQ16</f>
        <v>3</v>
      </c>
      <c r="D16" s="451">
        <f>IF(ISNUMBER(Datos!M16),Datos!M16," - ")</f>
        <v>129</v>
      </c>
      <c r="E16" s="452">
        <f t="shared" ref="E16:E23" si="3">IF(ISNUMBER(D16/B16),D16/B16," - ")</f>
        <v>43</v>
      </c>
      <c r="F16" s="451">
        <f>IF(ISNUMBER(Datos!N16),Datos!N16," - ")</f>
        <v>1438</v>
      </c>
      <c r="G16" s="452">
        <f t="shared" ref="G16:G23" si="4">IF(ISNUMBER(F16/B16),F16/B16," - ")</f>
        <v>479.33333333333331</v>
      </c>
      <c r="H16" s="451">
        <f>IF(ISNUMBER(Datos!O16),Datos!O16," - ")</f>
        <v>49</v>
      </c>
      <c r="I16" s="452">
        <f t="shared" ref="I16:I22" si="5">IF(ISNUMBER(H16/B16),H16/B16," - ")</f>
        <v>16.333333333333332</v>
      </c>
    </row>
    <row r="17" spans="1:9">
      <c r="A17" s="450" t="str">
        <f>Datos!A17</f>
        <v xml:space="preserve">Jdos. 1ª Instª. e Instr.                        </v>
      </c>
      <c r="B17" s="480">
        <f>Datos!AO17</f>
        <v>0</v>
      </c>
      <c r="C17" s="481">
        <f>Datos!AQ17</f>
        <v>0</v>
      </c>
      <c r="D17" s="451" t="str">
        <f>IF(ISNUMBER(Datos!M17),Datos!M17," - ")</f>
        <v xml:space="preserve"> - </v>
      </c>
      <c r="E17" s="452" t="str">
        <f t="shared" si="3"/>
        <v xml:space="preserve"> - </v>
      </c>
      <c r="F17" s="451" t="str">
        <f>IF(ISNUMBER(Datos!N17),Datos!N17," - ")</f>
        <v xml:space="preserve"> - </v>
      </c>
      <c r="G17" s="452" t="str">
        <f t="shared" si="4"/>
        <v xml:space="preserve"> - </v>
      </c>
      <c r="H17" s="451" t="str">
        <f>IF(ISNUMBER(Datos!O17),Datos!O17," - ")</f>
        <v xml:space="preserve"> - </v>
      </c>
      <c r="I17" s="452" t="str">
        <f t="shared" si="5"/>
        <v xml:space="preserve"> - </v>
      </c>
    </row>
    <row r="18" spans="1:9">
      <c r="A18" s="450" t="str">
        <f>Datos!A18</f>
        <v>Jdos. Violencia contra la mujer</v>
      </c>
      <c r="B18" s="480">
        <f>Datos!AO18</f>
        <v>1</v>
      </c>
      <c r="C18" s="481">
        <f>Datos!AQ18</f>
        <v>0</v>
      </c>
      <c r="D18" s="451">
        <f>IF(ISNUMBER(Datos!M18),Datos!M18," - ")</f>
        <v>39</v>
      </c>
      <c r="E18" s="452">
        <f>IF(ISNUMBER(D18/B18),D18/B18," - ")</f>
        <v>39</v>
      </c>
      <c r="F18" s="451">
        <f>IF(ISNUMBER(Datos!N18),Datos!N18," - ")</f>
        <v>168</v>
      </c>
      <c r="G18" s="452">
        <f>IF(ISNUMBER(F18/B18),F18/B18," - ")</f>
        <v>168</v>
      </c>
      <c r="H18" s="451">
        <f>IF(ISNUMBER(Datos!O18),Datos!O18," - ")</f>
        <v>11</v>
      </c>
      <c r="I18" s="452">
        <f t="shared" si="5"/>
        <v>11</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4</v>
      </c>
      <c r="C23" s="1148">
        <f>Datos!AR23</f>
        <v>3</v>
      </c>
      <c r="D23" s="1146">
        <f>SUBTOTAL(9,D16:D22)</f>
        <v>168</v>
      </c>
      <c r="E23" s="1147">
        <f t="shared" si="3"/>
        <v>42</v>
      </c>
      <c r="F23" s="1146">
        <f>SUBTOTAL(9,F16:F22)</f>
        <v>1606</v>
      </c>
      <c r="G23" s="1147">
        <f t="shared" si="4"/>
        <v>401.5</v>
      </c>
      <c r="H23" s="1146">
        <f>SUBTOTAL(9,H16:H22)</f>
        <v>60</v>
      </c>
      <c r="I23" s="1147">
        <f>IF(ISNUMBER(H23/B23),H23/B23," - ")</f>
        <v>15</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8</v>
      </c>
      <c r="C31" s="1084">
        <f>Datos!AR31</f>
        <v>8</v>
      </c>
      <c r="D31" s="1084">
        <f>SUBTOTAL(9,D8:D30)</f>
        <v>462</v>
      </c>
      <c r="E31" s="1085">
        <f>IF(ISNUMBER(D31/B31),D31/B31," - ")</f>
        <v>57.75</v>
      </c>
      <c r="F31" s="1084">
        <f>SUBTOTAL(9,F8:F30)</f>
        <v>2154</v>
      </c>
      <c r="G31" s="1085">
        <f>IF(ISNUMBER(F31/B31),F31/B31," - ")</f>
        <v>269.25</v>
      </c>
      <c r="H31" s="1084">
        <f>SUBTOTAL(9,H8:H30)</f>
        <v>755</v>
      </c>
      <c r="I31" s="1085">
        <f>IF(ISNUMBER(H31/B31),H31/B31," - ")</f>
        <v>94.375</v>
      </c>
    </row>
    <row r="34" spans="1:1">
      <c r="A34" s="439" t="str">
        <f>Criterios!A4</f>
        <v>Fecha Informe: 05 may. 2023</v>
      </c>
    </row>
    <row r="39" spans="1:1">
      <c r="A39" s="462"/>
    </row>
  </sheetData>
  <sheetProtection algorithmName="SHA-512" hashValue="FN0vDxVA8dadQv8T/hKl2NXl/IQPYGPPE1ZoEeZdvFheS0MYtc+wqxUM0/yKTQizLliCwmH5K9hpO/UwwdXNHQ==" saltValue="kzEE0KKvhArdcifVbIwf5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ISLAS BALEARES</v>
      </c>
    </row>
    <row r="3" spans="1:4" ht="19.5">
      <c r="A3" s="484" t="s">
        <v>48</v>
      </c>
      <c r="B3" s="439" t="str">
        <f>Criterios!A10 &amp;"  "&amp;Criterios!B10</f>
        <v>Provincias  ILLES BALEARS</v>
      </c>
    </row>
    <row r="4" spans="1:4" ht="13.5" thickBot="1">
      <c r="B4" s="439" t="str">
        <f>Criterios!A11 &amp;"  "&amp;Criterios!B11</f>
        <v>Resumenes por Partidos Judiciales  MANACOR</v>
      </c>
    </row>
    <row r="5" spans="1:4" ht="12.75" customHeight="1">
      <c r="A5" s="1591" t="str">
        <f>"Año:  " &amp;Criterios!B5 &amp; "                  Trimestre   " &amp;Criterios!D5 &amp; " al " &amp;Criterios!D6</f>
        <v>Año:  2022                  Trimestre   1 al 1</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f>IF(ISNUMBER(Datos!P9),Datos!P9," - ")</f>
        <v>328</v>
      </c>
      <c r="C9" s="489">
        <f>IF(ISNUMBER(Datos!Q9),Datos!Q9," - ")</f>
        <v>135</v>
      </c>
      <c r="D9" s="456">
        <f>IF(ISNUMBER(Datos!R9),Datos!R9," - ")</f>
        <v>6523</v>
      </c>
    </row>
    <row r="10" spans="1:4">
      <c r="A10" s="450" t="str">
        <f>Datos!A10</f>
        <v>Jdos. Violencia contra la mujer</v>
      </c>
      <c r="B10" s="488">
        <f>IF(ISNUMBER(Datos!P10),Datos!P10," - ")</f>
        <v>5</v>
      </c>
      <c r="C10" s="489">
        <f>IF(ISNUMBER(Datos!Q10),Datos!Q10," - ")</f>
        <v>12</v>
      </c>
      <c r="D10" s="456">
        <f>IF(ISNUMBER(Datos!R10),Datos!R10," - ")</f>
        <v>61</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0</v>
      </c>
      <c r="C12" s="489">
        <f>IF(ISNUMBER(Datos!Q12),Datos!Q12," - ")</f>
        <v>0</v>
      </c>
      <c r="D12" s="456">
        <f>IF(ISNUMBER(Datos!R12),Datos!R12," - ")</f>
        <v>11</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333</v>
      </c>
      <c r="C14" s="1150">
        <f>SUBTOTAL(9,C9:C13)</f>
        <v>147</v>
      </c>
      <c r="D14" s="1148">
        <f>SUBTOTAL(9,D9:D13)</f>
        <v>6595</v>
      </c>
    </row>
    <row r="15" spans="1:4" ht="13.5" thickTop="1">
      <c r="A15" s="444" t="str">
        <f>Datos!A15</f>
        <v xml:space="preserve">Jurisdicción Penal ( 2 ):                      </v>
      </c>
      <c r="B15" s="454"/>
      <c r="C15" s="490"/>
      <c r="D15" s="456"/>
    </row>
    <row r="16" spans="1:4">
      <c r="A16" s="450" t="str">
        <f>Datos!A16</f>
        <v xml:space="preserve">Jdos. Instrucción                               </v>
      </c>
      <c r="B16" s="488">
        <f>IF(ISNUMBER(Datos!P16),Datos!P16," - ")</f>
        <v>32</v>
      </c>
      <c r="C16" s="489">
        <f>IF(ISNUMBER(Datos!Q16),Datos!Q16," - ")</f>
        <v>56</v>
      </c>
      <c r="D16" s="456">
        <f>IF(ISNUMBER(Datos!R16),Datos!R16," - ")</f>
        <v>241</v>
      </c>
    </row>
    <row r="17" spans="1:4">
      <c r="A17" s="450" t="str">
        <f>Datos!A17</f>
        <v xml:space="preserve">Jdos. 1ª Instª. e Instr.                        </v>
      </c>
      <c r="B17" s="488" t="str">
        <f>IF(ISNUMBER(Datos!P17),Datos!P17," - ")</f>
        <v xml:space="preserve"> - </v>
      </c>
      <c r="C17" s="489" t="str">
        <f>IF(ISNUMBER(Datos!Q17),Datos!Q17," - ")</f>
        <v xml:space="preserve"> - </v>
      </c>
      <c r="D17" s="456" t="str">
        <f>IF(ISNUMBER(Datos!R17),Datos!R17," - ")</f>
        <v xml:space="preserve"> - </v>
      </c>
    </row>
    <row r="18" spans="1:4">
      <c r="A18" s="450" t="str">
        <f>Datos!A18</f>
        <v>Jdos. Violencia contra la mujer</v>
      </c>
      <c r="B18" s="488">
        <f>IF(ISNUMBER(Datos!P18),Datos!P18," - ")</f>
        <v>4</v>
      </c>
      <c r="C18" s="489">
        <f>IF(ISNUMBER(Datos!Q18),Datos!Q18," - ")</f>
        <v>11</v>
      </c>
      <c r="D18" s="456">
        <f>IF(ISNUMBER(Datos!R18),Datos!R18," - ")</f>
        <v>25</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36</v>
      </c>
      <c r="C23" s="1150">
        <f>SUBTOTAL(9,C16:C22)</f>
        <v>67</v>
      </c>
      <c r="D23" s="1148">
        <f>SUBTOTAL(9,D16:D22)</f>
        <v>266</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369</v>
      </c>
      <c r="C31" s="1089">
        <f>SUBTOTAL(9,C8:C30)</f>
        <v>214</v>
      </c>
      <c r="D31" s="1090">
        <f>SUBTOTAL(9,D8:D30)</f>
        <v>6861</v>
      </c>
    </row>
    <row r="32" spans="1:4" ht="7.5" customHeight="1"/>
    <row r="33" spans="1:1" ht="6" customHeight="1"/>
    <row r="34" spans="1:1">
      <c r="A34" s="439" t="str">
        <f>Criterios!A4</f>
        <v>Fecha Informe: 05 may. 2023</v>
      </c>
    </row>
    <row r="39" spans="1:1">
      <c r="A39" s="462"/>
    </row>
  </sheetData>
  <sheetProtection algorithmName="SHA-512" hashValue="wc89IuM34hWVoyNrukgf98XYZdZ6/WTqk6h61Xkrvlq0W9BkdKxx3BF9dd379C0kBt+/nUuufOyT5c1l1sBJBQ==" saltValue="HdFVMe8+kLTATwWzCX37v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ISLAS BALEARES</v>
      </c>
    </row>
    <row r="3" spans="1:11" ht="18.75" customHeight="1">
      <c r="A3" s="484" t="s">
        <v>162</v>
      </c>
      <c r="B3" s="439" t="str">
        <f>Criterios!A10 &amp;"  "&amp;Criterios!B10</f>
        <v>Provincias  ILLES BALEARS</v>
      </c>
    </row>
    <row r="4" spans="1:11" ht="10.5" customHeight="1" thickBot="1">
      <c r="B4" s="439" t="str">
        <f>Criterios!A11 &amp;"  "&amp;Criterios!B11</f>
        <v>Resumenes por Partidos Judiciales  MANACOR</v>
      </c>
    </row>
    <row r="5" spans="1:11" ht="12.75" customHeight="1">
      <c r="A5" s="1591" t="str">
        <f>"Año:  " &amp;Criterios!B5 &amp; "    Trimestre   " &amp;Criterios!D5 &amp; " al " &amp;Criterios!D6</f>
        <v>Año:  2022    Trimestre   1 al 1</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f>IF(ISNUMBER(
   IF(J_V="SI",(Datos!I9-Datos!S9)/Datos!S9,(Datos!I9+Datos!Y9-(Datos!S9+Datos!AG9))/(Datos!S9+Datos!AG9))
     ),IF(J_V="SI",(Datos!I9-Datos!S9)/Datos!S9,(Datos!I9+Datos!Y9-(Datos!S9+Datos!AG9))/(Datos!S9+Datos!AG9))," - ")</f>
        <v>5.6854983807124865E-2</v>
      </c>
      <c r="C9" s="515">
        <f>IF(ISNUMBER(
   IF(J_V="SI",(Datos!J9-Datos!T9)/Datos!T9,(Datos!J9+Datos!Z9-(Datos!T9+Datos!AH9))/(Datos!T9+Datos!AH9))
     ),IF(J_V="SI",(Datos!J9-Datos!T9)/Datos!T9,(Datos!J9+Datos!Z9-(Datos!T9+Datos!AH9))/(Datos!T9+Datos!AH9))," - ")</f>
        <v>0.20623671155209072</v>
      </c>
      <c r="D9" s="515">
        <f>IF(ISNUMBER(
   IF(J_V="SI",(Datos!K9-Datos!U9)/Datos!U9,(Datos!K9+Datos!AA9-(Datos!U9+Datos!AI9))/(Datos!U9+Datos!AI9))
     ),IF(J_V="SI",(Datos!K9-Datos!U9)/Datos!U9,(Datos!K9+Datos!AA9-(Datos!U9+Datos!AI9))/(Datos!U9+Datos!AI9))," - ")</f>
        <v>-2.8611304954640614E-2</v>
      </c>
      <c r="E9" s="515">
        <f>IF(ISNUMBER(
   IF(J_V="SI",(Datos!L9-Datos!V9)/Datos!V9,(Datos!L9+Datos!AB9-(Datos!V9+Datos!AJ9))/(Datos!V9+Datos!AJ9))
     ),IF(J_V="SI",(Datos!L9-Datos!V9)/Datos!V9,(Datos!L9+Datos!AB9-(Datos!V9+Datos!AJ9))/(Datos!V9+Datos!AJ9))," - ")</f>
        <v>0.17474674384949349</v>
      </c>
      <c r="F9" s="515">
        <f>IF(ISNUMBER((Datos!M9-Datos!W9)/Datos!W9),(Datos!M9-Datos!W9)/Datos!W9," - ")</f>
        <v>-0.23351648351648352</v>
      </c>
      <c r="G9" s="516">
        <f>IF(ISNUMBER((Datos!N9-Datos!X9)/Datos!X9),(Datos!N9-Datos!X9)/Datos!X9," - ")</f>
        <v>-7.7720207253886009E-2</v>
      </c>
      <c r="H9" s="514">
        <f>IF(ISNUMBER(((NºAsuntos!G9/NºAsuntos!E9)-Datos!BD9)/Datos!BD9),((NºAsuntos!G9/NºAsuntos!E9)-Datos!BD9)/Datos!BD9," - ")</f>
        <v>-0.19469480099353587</v>
      </c>
      <c r="I9" s="515">
        <f>IF(ISNUMBER(((NºAsuntos!I9/NºAsuntos!G9)-Datos!BE9)/Datos!BE9),((NºAsuntos!I9/NºAsuntos!G9)-Datos!BE9)/Datos!BE9," - ")</f>
        <v>0.2093477614485087</v>
      </c>
      <c r="J9" s="521">
        <f>IF(ISNUMBER((('Resol  Asuntos'!D9/NºAsuntos!G9)-Datos!BF9)/Datos!BF9),(('Resol  Asuntos'!D9/NºAsuntos!G9)-Datos!BF9)/Datos!BF9," - ")</f>
        <v>-0.50394184384491691</v>
      </c>
      <c r="K9" s="522">
        <f>IF(ISNUMBER((((NºAsuntos!C9+NºAsuntos!E9)/NºAsuntos!G9)-Datos!BG9)/Datos!BG9),(((NºAsuntos!C9+NºAsuntos!E9)/NºAsuntos!G9)-Datos!BG9)/Datos!BG9," - ")</f>
        <v>0.13977021781472018</v>
      </c>
    </row>
    <row r="10" spans="1:11">
      <c r="A10" s="450" t="str">
        <f>Datos!A10</f>
        <v>Jdos. Violencia contra la mujer</v>
      </c>
      <c r="B10" s="514">
        <f>IF(ISNUMBER((Datos!I10-Datos!S10)/Datos!S10),(Datos!I10-Datos!S10)/Datos!S10," - ")</f>
        <v>0.38461538461538464</v>
      </c>
      <c r="C10" s="515">
        <f>IF(ISNUMBER((Datos!J10-Datos!T10)/Datos!T10),(Datos!J10-Datos!T10)/Datos!T10," - ")</f>
        <v>0.61111111111111116</v>
      </c>
      <c r="D10" s="515">
        <f>IF(ISNUMBER((Datos!K10-Datos!U10)/Datos!U10),(Datos!K10-Datos!U10)/Datos!U10," - ")</f>
        <v>1.5333333333333334</v>
      </c>
      <c r="E10" s="515">
        <f>IF(ISNUMBER((Datos!L10-Datos!V10)/Datos!V10),(Datos!L10-Datos!V10)/Datos!V10," - ")</f>
        <v>0.24468085106382978</v>
      </c>
      <c r="F10" s="515">
        <f>IF(ISNUMBER((Datos!M10-Datos!W10)/Datos!W10),(Datos!M10-Datos!W10)/Datos!W10," - ")</f>
        <v>0.5</v>
      </c>
      <c r="G10" s="516">
        <f>IF(ISNUMBER((Datos!N10-Datos!X10)/Datos!X10),(Datos!N10-Datos!X10)/Datos!X10," - ")</f>
        <v>6</v>
      </c>
      <c r="H10" s="514">
        <f>IF(ISNUMBER(((NºAsuntos!G10/NºAsuntos!E10)-Datos!BD10)/Datos!BD10),((NºAsuntos!G10/NºAsuntos!E10)-Datos!BD10)/Datos!BD10," - ")</f>
        <v>0.5724137931034482</v>
      </c>
      <c r="I10" s="515">
        <f>IF(ISNUMBER(((NºAsuntos!I10/NºAsuntos!G10)-Datos!BE10)/Datos!BE10),((NºAsuntos!I10/NºAsuntos!G10)-Datos!BE10)/Datos!BE10," - ")</f>
        <v>-0.50867861142217241</v>
      </c>
      <c r="J10" s="521">
        <f>IF(ISNUMBER((('Resol  Asuntos'!D10/NºAsuntos!G10)-Datos!BF10)/Datos!BF10),(('Resol  Asuntos'!D10/NºAsuntos!G10)-Datos!BF10)/Datos!BF10," - ")</f>
        <v>-0.4078947368421052</v>
      </c>
      <c r="K10" s="522">
        <f>IF(ISNUMBER((((NºAsuntos!C10+NºAsuntos!E10)/NºAsuntos!G10)-Datos!BG10)/Datos!BG10),(((NºAsuntos!C10+NºAsuntos!E10)/NºAsuntos!G10)-Datos!BG10)/Datos!BG10," - ")</f>
        <v>-0.43867696764847902</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-1</v>
      </c>
      <c r="C12" s="515" t="str">
        <f>IF(ISNUMBER(
   IF(J_V="SI",(Datos!J12-Datos!T12)/Datos!T12,(Datos!J12+Datos!Z12-(Datos!T12+Datos!AH12))/(Datos!T12+Datos!AH12))
     ),IF(J_V="SI",(Datos!J12-Datos!T12)/Datos!T12,(Datos!J12+Datos!Z12-(Datos!T12+Datos!AH12))/(Datos!T12+Datos!AH12))," - ")</f>
        <v xml:space="preserve"> - </v>
      </c>
      <c r="D12" s="515" t="str">
        <f>IF(ISNUMBER(
   IF(J_V="SI",(Datos!K12-Datos!U12)/Datos!U12,(Datos!K12+Datos!AA12-(Datos!U12+Datos!AI12))/(Datos!U12+Datos!AI12))
     ),IF(J_V="SI",(Datos!K12-Datos!U12)/Datos!U12,(Datos!K12+Datos!AA12-(Datos!U12+Datos!AI12))/(Datos!U12+Datos!AI12))," - ")</f>
        <v xml:space="preserve"> - </v>
      </c>
      <c r="E12" s="515">
        <f>IF(ISNUMBER(
   IF(J_V="SI",(Datos!L12-Datos!V12)/Datos!V12,(Datos!L12+Datos!AB12-(Datos!V12+Datos!AJ12))/(Datos!V12+Datos!AJ12))
     ),IF(J_V="SI",(Datos!L12-Datos!V12)/Datos!V12,(Datos!L12+Datos!AB12-(Datos!V12+Datos!AJ12))/(Datos!V12+Datos!AJ12))," - ")</f>
        <v>-1</v>
      </c>
      <c r="F12" s="515" t="str">
        <f>IF(ISNUMBER((Datos!M12-Datos!W12)/Datos!W12),(Datos!M12-Datos!W12)/Datos!W12," - ")</f>
        <v xml:space="preserve"> - </v>
      </c>
      <c r="G12" s="516" t="str">
        <f>IF(ISNUMBER((Datos!N12-Datos!X12)/Datos!X12),(Datos!N12-Datos!X12)/Datos!X12," - ")</f>
        <v xml:space="preserve"> - </v>
      </c>
      <c r="H12" s="514" t="str">
        <f>IF(ISNUMBER(((NºAsuntos!G12/NºAsuntos!E12)-Datos!BD12)/Datos!BD12),((NºAsuntos!G12/NºAsuntos!E12)-Datos!BD12)/Datos!BD12," - ")</f>
        <v xml:space="preserve"> - </v>
      </c>
      <c r="I12" s="515" t="str">
        <f>IF(ISNUMBER(((NºAsuntos!I12/NºAsuntos!G12)-Datos!BE12)/Datos!BE12),((NºAsuntos!I12/NºAsuntos!G12)-Datos!BE12)/Datos!BE12," - ")</f>
        <v xml:space="preserve"> - </v>
      </c>
      <c r="J12" s="521" t="str">
        <f>IF(ISNUMBER((('Resol  Asuntos'!D12/NºAsuntos!G12)-Datos!BF12)/Datos!BF12),(('Resol  Asuntos'!D12/NºAsuntos!G12)-Datos!BF12)/Datos!BF12," - ")</f>
        <v xml:space="preserve"> - </v>
      </c>
      <c r="K12" s="522" t="str">
        <f>IF(ISNUMBER((((NºAsuntos!C12+NºAsuntos!E12)/NºAsuntos!G12)-Datos!BG12)/Datos!BG12),(((NºAsuntos!C12+NºAsuntos!E12)/NºAsuntos!G12)-Datos!BG12)/Datos!BG12," - ")</f>
        <v xml:space="preserve"> - </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6.2066574202496533E-2</v>
      </c>
      <c r="C14" s="1152">
        <f>IF(ISNUMBER(
   IF(J_V="SI",(Datos!J14-Datos!T14)/Datos!T14,(Datos!J14+Datos!Z14-(Datos!T14+Datos!AH14))/(Datos!T14+Datos!AH14))
     ),IF(J_V="SI",(Datos!J14-Datos!T14)/Datos!T14,(Datos!J14+Datos!Z14-(Datos!T14+Datos!AH14))/(Datos!T14+Datos!AH14))," - ")</f>
        <v>0.21133659902029392</v>
      </c>
      <c r="D14" s="1152">
        <f>IF(ISNUMBER(
   IF(J_V="SI",(Datos!K14-Datos!U14)/Datos!U14,(Datos!K14+Datos!AA14-(Datos!U14+Datos!AI14))/(Datos!U14+Datos!AI14))
     ),IF(J_V="SI",(Datos!K14-Datos!U14)/Datos!U14,(Datos!K14+Datos!AA14-(Datos!U14+Datos!AI14))/(Datos!U14+Datos!AI14))," - ")</f>
        <v>-1.2430939226519336E-2</v>
      </c>
      <c r="E14" s="1152">
        <f>IF(ISNUMBER(
   IF(J_V="SI",(Datos!L14-Datos!V14)/Datos!V14,(Datos!L14+Datos!AB14-(Datos!V14+Datos!AJ14))/(Datos!V14+Datos!AJ14))
     ),IF(J_V="SI",(Datos!L14-Datos!V14)/Datos!V14,(Datos!L14+Datos!AB14-(Datos!V14+Datos!AJ14))/(Datos!V14+Datos!AJ14))," - ")</f>
        <v>0.1713091922005571</v>
      </c>
      <c r="F14" s="1153">
        <f>IF(ISNUMBER((Datos!M14-Datos!W14)/Datos!W14),(Datos!M14-Datos!W14)/Datos!W14," - ")</f>
        <v>-0.21390374331550802</v>
      </c>
      <c r="G14" s="1154">
        <f>IF(ISNUMBER((Datos!N14-Datos!X14)/Datos!X14),(Datos!N14-Datos!X14)/Datos!X14," - ")</f>
        <v>-5.6798623063683308E-2</v>
      </c>
      <c r="H14" s="1154">
        <f>IF(ISNUMBER(((NºAsuntos!G14/NºAsuntos!E14)-Datos!BD14)/Datos!BD14),((NºAsuntos!G14/NºAsuntos!E14)-Datos!BD14)/Datos!BD14," - ")</f>
        <v>-0.18472779442790069</v>
      </c>
      <c r="I14" s="1154">
        <f>IF(ISNUMBER(((NºAsuntos!I14/NºAsuntos!G14)-Datos!BE14)/Datos!BE14),((NºAsuntos!I14/NºAsuntos!G14)-Datos!BE14)/Datos!BE14," - ")</f>
        <v>0.18605294427021443</v>
      </c>
      <c r="J14" s="1154">
        <f>IF(ISNUMBER((('Resol  Asuntos'!D14/NºAsuntos!G14)-Datos!BF14)/Datos!BF14),(('Resol  Asuntos'!D14/NºAsuntos!G14)-Datos!BF14)/Datos!BF14," - ")</f>
        <v>-0.49456587555059545</v>
      </c>
      <c r="K14" s="1154">
        <f>IF(ISNUMBER((((NºAsuntos!C14+NºAsuntos!E14)/NºAsuntos!G14)-Datos!BG14)/Datos!BG14),(((NºAsuntos!C14+NºAsuntos!E14)/NºAsuntos!G14)-Datos!BG14)/Datos!BG14," - ")</f>
        <v>0.12551450404452952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f>IF(ISNUMBER(
   IF(D_I="SI",(Datos!I16-Datos!S16)/Datos!S16,(Datos!I16+Datos!AC16-(Datos!S16+Datos!AK16))/(Datos!S16+Datos!AK16))
     ),IF(D_I="SI",(Datos!I16-Datos!S16)/Datos!S16,(Datos!I16+Datos!AC16-(Datos!S16+Datos!AK16))/(Datos!S16+Datos!AK16))," - ")</f>
        <v>-0.20008814455707361</v>
      </c>
      <c r="C16" s="515">
        <f>IF(ISNUMBER(
   IF(D_I="SI",(Datos!J16-Datos!T16)/Datos!T16,(Datos!J16+Datos!AD16-(Datos!T16+Datos!AL16))/(Datos!T16+Datos!AL16))
     ),IF(D_I="SI",(Datos!J16-Datos!T16)/Datos!T16,(Datos!J16+Datos!AD16-(Datos!T16+Datos!AL16))/(Datos!T16+Datos!AL16))," - ")</f>
        <v>0.337707182320442</v>
      </c>
      <c r="D16" s="515">
        <f>IF(ISNUMBER(
   IF(D_I="SI",(Datos!K16-Datos!U16)/Datos!U16,(Datos!K16+Datos!AE16-(Datos!U16+Datos!AM16))/(Datos!U16+Datos!AM16))
     ),IF(D_I="SI",(Datos!K16-Datos!U16)/Datos!U16,(Datos!K16+Datos!AE16-(Datos!U16+Datos!AM16))/(Datos!U16+Datos!AM16))," - ")</f>
        <v>0.53502747252747251</v>
      </c>
      <c r="E16" s="515">
        <f>IF(ISNUMBER(
   IF(D_I="SI",(Datos!L16-Datos!V16)/Datos!V16,(Datos!L16+Datos!AF16-(Datos!V16+Datos!AN16))/(Datos!V16+Datos!AN16))
     ),IF(D_I="SI",(Datos!L16-Datos!V16)/Datos!V16,(Datos!L16+Datos!AF16-(Datos!V16+Datos!AN16))/(Datos!V16+Datos!AN16))," - ")</f>
        <v>-0.32848965213562309</v>
      </c>
      <c r="F16" s="515">
        <f>IF(ISNUMBER((Datos!M16-Datos!W16)/Datos!W16),(Datos!M16-Datos!W16)/Datos!W16," - ")</f>
        <v>-0.11643835616438356</v>
      </c>
      <c r="G16" s="516">
        <f>IF(ISNUMBER((Datos!N16-Datos!X16)/Datos!X16),(Datos!N16-Datos!X16)/Datos!X16," - ")</f>
        <v>0.59600443951165372</v>
      </c>
      <c r="H16" s="514">
        <f>IF(ISNUMBER(((NºAsuntos!G16/NºAsuntos!E16)-Datos!BD16)/Datos!BD16),((NºAsuntos!G16/NºAsuntos!E16)-Datos!BD16)/Datos!BD16," - ")</f>
        <v>0.14750633981403191</v>
      </c>
      <c r="I16" s="515">
        <f>IF(ISNUMBER(((NºAsuntos!I16/NºAsuntos!G16)-Datos!BE16)/Datos!BE16),((NºAsuntos!I16/NºAsuntos!G16)-Datos!BE16)/Datos!BE16," - ")</f>
        <v>-0.56254180470222248</v>
      </c>
      <c r="J16" s="521">
        <f>IF(ISNUMBER((('Resol  Asuntos'!D16/NºAsuntos!G16)-Datos!BF16)/Datos!BF16),(('Resol  Asuntos'!D16/NºAsuntos!G16)-Datos!BF16)/Datos!BF16," - ")</f>
        <v>-0.424400110324538</v>
      </c>
      <c r="K16" s="522">
        <f>IF(ISNUMBER((((NºAsuntos!C16+NºAsuntos!E16)/NºAsuntos!G16)-Datos!BG16)/Datos!BG16),(((NºAsuntos!C16+NºAsuntos!E16)/NºAsuntos!G16)-Datos!BG16)/Datos!BG16," - ")</f>
        <v>-0.34241164153574571</v>
      </c>
    </row>
    <row r="17" spans="1:11">
      <c r="A17" s="450" t="str">
        <f>Datos!A17</f>
        <v xml:space="preserve">Jdos. 1ª Instª. e Instr.                        </v>
      </c>
      <c r="B17" s="514" t="str">
        <f>IF(ISNUMBER(
   IF(D_I="SI",(Datos!I17-Datos!S17)/Datos!S17,(Datos!I17+Datos!AC17-(Datos!S17+Datos!AK17))/(Datos!S17+Datos!AK17))
     ),IF(D_I="SI",(Datos!I17-Datos!S17)/Datos!S17,(Datos!I17+Datos!AC17-(Datos!S17+Datos!AK17))/(Datos!S17+Datos!AK17))," - ")</f>
        <v xml:space="preserve"> - </v>
      </c>
      <c r="C17" s="515" t="str">
        <f>IF(ISNUMBER(
   IF(D_I="SI",(Datos!J17-Datos!T17)/Datos!T17,(Datos!J17+Datos!AD17-(Datos!T17+Datos!AL17))/(Datos!T17+Datos!AL17))
     ),IF(D_I="SI",(Datos!J17-Datos!T17)/Datos!T17,(Datos!J17+Datos!AD17-(Datos!T17+Datos!AL17))/(Datos!T17+Datos!AL17))," - ")</f>
        <v xml:space="preserve"> - </v>
      </c>
      <c r="D17" s="515" t="str">
        <f>IF(ISNUMBER(
   IF(D_I="SI",(Datos!K17-Datos!U17)/Datos!U17,(Datos!K17+Datos!AE17-(Datos!U17+Datos!AM17))/(Datos!U17+Datos!AM17))
     ),IF(D_I="SI",(Datos!K17-Datos!U17)/Datos!U17,(Datos!K17+Datos!AE17-(Datos!U17+Datos!AM17))/(Datos!U17+Datos!AM17))," - ")</f>
        <v xml:space="preserve"> - </v>
      </c>
      <c r="E17" s="515" t="str">
        <f>IF(ISNUMBER(
   IF(D_I="SI",(Datos!L17-Datos!V17)/Datos!V17,(Datos!L17+Datos!AF17-(Datos!V17+Datos!AN17))/(Datos!V17+Datos!AN17))
     ),IF(D_I="SI",(Datos!L17-Datos!V17)/Datos!V17,(Datos!L17+Datos!AF17-(Datos!V17+Datos!AN17))/(Datos!V17+Datos!AN17))," - ")</f>
        <v xml:space="preserve"> - </v>
      </c>
      <c r="F17" s="515" t="str">
        <f>IF(ISNUMBER((Datos!M17-Datos!W17)/Datos!W17),(Datos!M17-Datos!W17)/Datos!W17," - ")</f>
        <v xml:space="preserve"> - </v>
      </c>
      <c r="G17" s="516" t="str">
        <f>IF(ISNUMBER((Datos!N17-Datos!X17)/Datos!X17),(Datos!N17-Datos!X17)/Datos!X17," - ")</f>
        <v xml:space="preserve"> - </v>
      </c>
      <c r="H17" s="514" t="str">
        <f>IF(ISNUMBER(((NºAsuntos!G17/NºAsuntos!E17)-Datos!BD17)/Datos!BD17),((NºAsuntos!G17/NºAsuntos!E17)-Datos!BD17)/Datos!BD17," - ")</f>
        <v xml:space="preserve"> - </v>
      </c>
      <c r="I17" s="515" t="str">
        <f>IF(ISNUMBER(((NºAsuntos!I17/NºAsuntos!G17)-Datos!BE17)/Datos!BE17),((NºAsuntos!I17/NºAsuntos!G17)-Datos!BE17)/Datos!BE17," - ")</f>
        <v xml:space="preserve"> - </v>
      </c>
      <c r="J17" s="521" t="str">
        <f>IF(ISNUMBER((('Resol  Asuntos'!D17/NºAsuntos!G17)-Datos!BF17)/Datos!BF17),(('Resol  Asuntos'!D17/NºAsuntos!G17)-Datos!BF17)/Datos!BF17," - ")</f>
        <v xml:space="preserve"> - </v>
      </c>
      <c r="K17" s="522" t="str">
        <f>IF(ISNUMBER((((NºAsuntos!C17+NºAsuntos!E17)/NºAsuntos!G17)-Datos!BG17)/Datos!BG17),(((NºAsuntos!C17+NºAsuntos!E17)/NºAsuntos!G17)-Datos!BG17)/Datos!BG17," - ")</f>
        <v xml:space="preserve"> - </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-7.183908045977011E-2</v>
      </c>
      <c r="C18" s="515">
        <f>IF(ISNUMBER(
   IF(D_I="SI",(Datos!J18-Datos!T18)/Datos!T18,(Datos!J18+Datos!AD18-(Datos!T18+Datos!AL18))/(Datos!T18+Datos!AL18))
     ),IF(D_I="SI",(Datos!J18-Datos!T18)/Datos!T18,(Datos!J18+Datos!AD18-(Datos!T18+Datos!AL18))/(Datos!T18+Datos!AL18))," - ")</f>
        <v>0.12322274881516587</v>
      </c>
      <c r="D18" s="515">
        <f>IF(ISNUMBER(
   IF(D_I="SI",(Datos!K18-Datos!U18)/Datos!U18,(Datos!K18+Datos!AE18-(Datos!U18+Datos!AM18))/(Datos!U18+Datos!AM18))
     ),IF(D_I="SI",(Datos!K18-Datos!U18)/Datos!U18,(Datos!K18+Datos!AE18-(Datos!U18+Datos!AM18))/(Datos!U18+Datos!AM18))," - ")</f>
        <v>0.24309392265193369</v>
      </c>
      <c r="E18" s="515">
        <f>IF(ISNUMBER(
   IF(D_I="SI",(Datos!L18-Datos!V18)/Datos!V18,(Datos!L18+Datos!AF18-(Datos!V18+Datos!AN18))/(Datos!V18+Datos!AN18))
     ),IF(D_I="SI",(Datos!L18-Datos!V18)/Datos!V18,(Datos!L18+Datos!AF18-(Datos!V18+Datos!AN18))/(Datos!V18+Datos!AN18))," - ")</f>
        <v>-0.11375661375661375</v>
      </c>
      <c r="F18" s="515">
        <f>IF(ISNUMBER((Datos!M18-Datos!W18)/Datos!W18),(Datos!M18-Datos!W18)/Datos!W18," - ")</f>
        <v>0.14705882352941177</v>
      </c>
      <c r="G18" s="516">
        <f>IF(ISNUMBER((Datos!N18-Datos!X18)/Datos!X18),(Datos!N18-Datos!X18)/Datos!X18," - ")</f>
        <v>0.20863309352517986</v>
      </c>
      <c r="H18" s="514">
        <f>IF(ISNUMBER(((NºAsuntos!G18/NºAsuntos!E18)-Datos!BD18)/Datos!BD18),((NºAsuntos!G18/NºAsuntos!E18)-Datos!BD18)/Datos!BD18," - ")</f>
        <v>0.1067207497027764</v>
      </c>
      <c r="I18" s="515">
        <f>IF(ISNUMBER(((NºAsuntos!I18/NºAsuntos!G18)-Datos!BE18)/Datos!BE18),((NºAsuntos!I18/NºAsuntos!G18)-Datos!BE18)/Datos!BE18," - ")</f>
        <v>-0.28706643151087602</v>
      </c>
      <c r="J18" s="521">
        <f>IF(ISNUMBER((('Resol  Asuntos'!D18/NºAsuntos!G18)-Datos!BF18)/Datos!BF18),(('Resol  Asuntos'!D18/NºAsuntos!G18)-Datos!BF18)/Datos!BF18," - ")</f>
        <v>-7.7254901960784245E-2</v>
      </c>
      <c r="K18" s="522">
        <f>IF(ISNUMBER((((NºAsuntos!C18+NºAsuntos!E18)/NºAsuntos!G18)-Datos!BG18)/Datos!BG18),(((NºAsuntos!C18+NºAsuntos!E18)/NºAsuntos!G18)-Datos!BG18)/Datos!BG18," - ")</f>
        <v>-0.19411647783740812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-0.18303400840657241</v>
      </c>
      <c r="C23" s="1152">
        <f>IF(ISNUMBER(
   IF(Criterios!B14="SI",(Datos!J23-Datos!T23)/Datos!T23,(Datos!J23+Datos!AD23-(Datos!T23+Datos!AL23))/(Datos!T23+Datos!AL23))
     ),IF(Criterios!B14="SI",(Datos!J23-Datos!T23)/Datos!T23,(Datos!J23+Datos!AD23-(Datos!T23+Datos!AL23))/(Datos!T23+Datos!AL23))," - ")</f>
        <v>0.31042796865581673</v>
      </c>
      <c r="D23" s="1152">
        <f>IF(ISNUMBER(
   IF(Criterios!B14="SI",(Datos!K23-Datos!U23)/Datos!U23,(Datos!K23+Datos!AE23-(Datos!U23+Datos!AM23))/(Datos!U23+Datos!AM23))
     ),IF(Criterios!B14="SI",(Datos!K23-Datos!U23)/Datos!U23,(Datos!K23+Datos!AE23-(Datos!U23+Datos!AM23))/(Datos!U23+Datos!AM23))," - ")</f>
        <v>0.50274893097128892</v>
      </c>
      <c r="E23" s="1152">
        <f>IF(ISNUMBER(
   IF(Criterios!B14="SI",(Datos!L23-Datos!V23)/Datos!V23,(Datos!L23+Datos!AF23-(Datos!V23+Datos!AN23))/(Datos!V23+Datos!AN23))
     ),IF(Criterios!B14="SI",(Datos!L23-Datos!V23)/Datos!V23,(Datos!L23+Datos!AF23-(Datos!V23+Datos!AN23))/(Datos!V23+Datos!AN23))," - ")</f>
        <v>-0.29784824462061155</v>
      </c>
      <c r="F23" s="1153">
        <f>IF(ISNUMBER((Datos!M23-Datos!W23)/Datos!W23),(Datos!M23-Datos!W23)/Datos!W23," - ")</f>
        <v>-6.6666666666666666E-2</v>
      </c>
      <c r="G23" s="1154">
        <f>IF(ISNUMBER((Datos!N23-Datos!X23)/Datos!X23),(Datos!N23-Datos!X23)/Datos!X23," - ")</f>
        <v>0.54423076923076918</v>
      </c>
      <c r="H23" s="1154">
        <f>IF(ISNUMBER(((NºAsuntos!G23/NºAsuntos!E23)-Datos!BD23)/Datos!BD23),((NºAsuntos!G23/NºAsuntos!E23)-Datos!BD23)/Datos!BD23," - ")</f>
        <v>0.14676194870348133</v>
      </c>
      <c r="I23" s="1154">
        <f>IF(ISNUMBER(((NºAsuntos!I23/NºAsuntos!G23)-Datos!BE23)/Datos!BE23),((NºAsuntos!I23/NºAsuntos!G23)-Datos!BE23)/Datos!BE23," - ")</f>
        <v>-0.53275511237558582</v>
      </c>
      <c r="J23" s="1154">
        <f>IF(ISNUMBER((('Resol  Asuntos'!D23/NºAsuntos!G23)-Datos!BF23)/Datos!BF23),(('Resol  Asuntos'!D23/NºAsuntos!G23)-Datos!BF23)/Datos!BF23," - ")</f>
        <v>-0.37891598915989155</v>
      </c>
      <c r="K23" s="1154">
        <f>IF(ISNUMBER((((NºAsuntos!C23+NºAsuntos!E23)/NºAsuntos!G23)-Datos!BG23)/Datos!BG23),(((NºAsuntos!C23+NºAsuntos!E23)/NºAsuntos!G23)-Datos!BG23)/Datos!BG23," - ")</f>
        <v>-0.32895039053290437</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-5.453553899291038E-2</v>
      </c>
      <c r="C31" s="1092">
        <f>IF(ISNUMBER(
   IF(J_V="SI",(Datos!J31-Datos!T31)/Datos!T31,(Datos!J31+Datos!Z31-(Datos!T31+Datos!AH31))/(Datos!T31+Datos!AH31))
     ),IF(J_V="SI",(Datos!J31-Datos!T31)/Datos!T31,(Datos!J31+Datos!Z31-(Datos!T31+Datos!AH31))/(Datos!T31+Datos!AH31))," - ")</f>
        <v>0.26457253886010362</v>
      </c>
      <c r="D31" s="1092">
        <f>IF(ISNUMBER(
   IF(J_V="SI",(Datos!K31-Datos!U31)/Datos!U31,(Datos!K31+Datos!AA31-(Datos!U31+Datos!AI31))/(Datos!U31+Datos!AI31))
     ),IF(J_V="SI",(Datos!K31-Datos!U31)/Datos!U31,(Datos!K31+Datos!AA31-(Datos!U31+Datos!AI31))/(Datos!U31+Datos!AI31))," - ")</f>
        <v>0.26094003241491087</v>
      </c>
      <c r="E31" s="1092">
        <f>IF(ISNUMBER(
   IF(J_V="SI",(Datos!L31-Datos!V31)/Datos!V31,(Datos!L31+Datos!AB31-(Datos!V31+Datos!AJ31))/(Datos!V31+Datos!AJ31))
     ),IF(J_V="SI",(Datos!L31-Datos!V31)/Datos!V31,(Datos!L31+Datos!AB31-(Datos!V31+Datos!AJ31))/(Datos!V31+Datos!AJ31))," - ")</f>
        <v>-5.3794602427096543E-2</v>
      </c>
      <c r="F31" s="1093">
        <f>IF(ISNUMBER((Datos!M31-Datos!W31)/Datos!W31),(Datos!M31-Datos!W31)/Datos!W31," - ")</f>
        <v>-0.16606498194945848</v>
      </c>
      <c r="G31" s="1094">
        <f>IF(ISNUMBER((Datos!N31-Datos!X31)/Datos!X31),(Datos!N31-Datos!X31)/Datos!X31," - ")</f>
        <v>0.32880937692782231</v>
      </c>
      <c r="H31" s="1095">
        <f>IF(ISNUMBER((Tasas!B31-Datos!BD31)/Datos!BD31),(Tasas!B31-Datos!BD31)/Datos!BD31," - ")</f>
        <v>-2.8725172606287211E-3</v>
      </c>
      <c r="I31" s="1096">
        <f>IF(ISNUMBER((Tasas!C31-Datos!BE31)/Datos!BE31),(Tasas!C31-Datos!BE31)/Datos!BE31," - ")</f>
        <v>-0.24960317441840435</v>
      </c>
      <c r="J31" s="1097">
        <f>IF(ISNUMBER((Tasas!D31-Datos!BF31)/Datos!BF31),(Tasas!D31-Datos!BF31)/Datos!BF31," - ")</f>
        <v>-0.52354575267181702</v>
      </c>
      <c r="K31" s="1097">
        <f>IF(ISNUMBER((Tasas!E31-Datos!BG31)/Datos!BG31),(Tasas!E31-Datos!BG31)/Datos!BG31," - ")</f>
        <v>-0.15920405157430692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U4TxcFhd+jhQ8Q2EfVocg5el9uN0lDhrg5BtCNir8hb1Qn6XWi5pbQr/RgtxJ0IbYT1NhuGS56HSK7dewHbqhQ==" saltValue="dksZy1ETbgvjENCjErYjz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ISLAS BALEARES</v>
      </c>
    </row>
    <row r="3" spans="1:7" ht="19.5">
      <c r="A3" s="491" t="s">
        <v>17</v>
      </c>
      <c r="B3" s="439" t="str">
        <f>Criterios!A10 &amp;"  "&amp;Criterios!B10</f>
        <v>Provincias  ILLES BALEARS</v>
      </c>
    </row>
    <row r="4" spans="1:7" ht="11.25" customHeight="1" thickBot="1">
      <c r="B4" s="439" t="str">
        <f>Criterios!A11 &amp;"  "&amp;Criterios!B11</f>
        <v>Resumenes por Partidos Judiciales  MANACOR</v>
      </c>
    </row>
    <row r="5" spans="1:7" ht="12.75" customHeight="1">
      <c r="A5" s="1591" t="str">
        <f>"Año:  " &amp;Criterios!B5 &amp; "    Trimestre   " &amp;Criterios!D5 &amp; " al " &amp;Criterios!D6</f>
        <v>Año:  2022    Trimestre   1 al 1</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f>IF(ISNUMBER(NºAsuntos!G9/NºAsuntos!E9),NºAsuntos!G9/NºAsuntos!E9," - ")</f>
        <v>0.81786133960047003</v>
      </c>
      <c r="C9" s="498">
        <f>IF(ISNUMBER(NºAsuntos!I9/NºAsuntos!G9),NºAsuntos!I9/NºAsuntos!G9," - ")</f>
        <v>2.3326149425287355</v>
      </c>
      <c r="D9" s="499">
        <f>IF(ISNUMBER('Resol  Asuntos'!D9/NºAsuntos!G9),'Resol  Asuntos'!D9/NºAsuntos!G9," - ")</f>
        <v>0.20043103448275862</v>
      </c>
      <c r="E9" s="500">
        <f>IF(ISNUMBER((NºAsuntos!C9+NºAsuntos!E9)/NºAsuntos!G9),(NºAsuntos!C9+NºAsuntos!E9)/NºAsuntos!G9," - ")</f>
        <v>3.3326149425287355</v>
      </c>
      <c r="G9" s="523"/>
    </row>
    <row r="10" spans="1:7">
      <c r="A10" s="450" t="str">
        <f>Datos!A10</f>
        <v>Jdos. Violencia contra la mujer</v>
      </c>
      <c r="B10" s="497">
        <f>IF(ISNUMBER(NºAsuntos!G10/NºAsuntos!E10),NºAsuntos!G10/NºAsuntos!E10," - ")</f>
        <v>1.3103448275862069</v>
      </c>
      <c r="C10" s="498">
        <f>IF(ISNUMBER(NºAsuntos!I10/NºAsuntos!G10),NºAsuntos!I10/NºAsuntos!G10," - ")</f>
        <v>3.0789473684210527</v>
      </c>
      <c r="D10" s="499">
        <f>IF(ISNUMBER('Resol  Asuntos'!D10/NºAsuntos!G10),'Resol  Asuntos'!D10/NºAsuntos!G10," - ")</f>
        <v>0.39473684210526316</v>
      </c>
      <c r="E10" s="500">
        <f>IF(ISNUMBER((NºAsuntos!C10+NºAsuntos!E10)/NºAsuntos!G10),(NºAsuntos!C10+NºAsuntos!E10)/NºAsuntos!G10," - ")</f>
        <v>4.0789473684210522</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t="str">
        <f>IF(ISNUMBER(NºAsuntos!G12/NºAsuntos!E12),NºAsuntos!G12/NºAsuntos!E12," - ")</f>
        <v xml:space="preserve"> - </v>
      </c>
      <c r="C12" s="498" t="str">
        <f>IF(ISNUMBER(NºAsuntos!I12/NºAsuntos!G12),NºAsuntos!I12/NºAsuntos!G12," - ")</f>
        <v xml:space="preserve"> - </v>
      </c>
      <c r="D12" s="499" t="str">
        <f>IF(ISNUMBER('Resol  Asuntos'!D12/NºAsuntos!G12),'Resol  Asuntos'!D12/NºAsuntos!G12," - ")</f>
        <v xml:space="preserve"> - </v>
      </c>
      <c r="E12" s="500" t="str">
        <f>IF(ISNUMBER((NºAsuntos!C12+NºAsuntos!E12)/NºAsuntos!G12),(NºAsuntos!C12+NºAsuntos!E12)/NºAsuntos!G12," - ")</f>
        <v xml:space="preserve"> - </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0.82611207394569608</v>
      </c>
      <c r="C14" s="1156">
        <f>IF(ISNUMBER(NºAsuntos!I14/NºAsuntos!G14),NºAsuntos!I14/NºAsuntos!G14," - ")</f>
        <v>2.3524475524475523</v>
      </c>
      <c r="D14" s="1157">
        <f>IF(ISNUMBER('Resol  Asuntos'!D14/NºAsuntos!G14),'Resol  Asuntos'!D14/NºAsuntos!G14," - ")</f>
        <v>0.20559440559440559</v>
      </c>
      <c r="E14" s="1158">
        <f>IF(ISNUMBER((NºAsuntos!C14+NºAsuntos!E14)/NºAsuntos!G14),(NºAsuntos!C14+NºAsuntos!E14)/NºAsuntos!G14," - ")</f>
        <v>3.3524475524475523</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f>IF(ISNUMBER(NºAsuntos!G16/NºAsuntos!E16),NºAsuntos!G16/NºAsuntos!E16," - ")</f>
        <v>1.1538461538461537</v>
      </c>
      <c r="C16" s="498">
        <f>IF(ISNUMBER(NºAsuntos!I16/NºAsuntos!G16),NºAsuntos!I16/NºAsuntos!G16," - ")</f>
        <v>0.68232662192393734</v>
      </c>
      <c r="D16" s="499">
        <f>IF(ISNUMBER('Resol  Asuntos'!D16/NºAsuntos!G16),'Resol  Asuntos'!D16/NºAsuntos!G16," - ")</f>
        <v>5.771812080536913E-2</v>
      </c>
      <c r="E16" s="500">
        <f>IF(ISNUMBER((NºAsuntos!C16+NºAsuntos!E16)/NºAsuntos!G16),(NºAsuntos!C16+NºAsuntos!E16)/NºAsuntos!G16," - ")</f>
        <v>1.6787472035794184</v>
      </c>
      <c r="G16" s="523"/>
    </row>
    <row r="17" spans="1:7">
      <c r="A17" s="450" t="str">
        <f>Datos!A17</f>
        <v xml:space="preserve">Jdos. 1ª Instª. e Instr.                        </v>
      </c>
      <c r="B17" s="497" t="str">
        <f>IF(ISNUMBER(NºAsuntos!G17/NºAsuntos!E17),NºAsuntos!G17/NºAsuntos!E17," - ")</f>
        <v xml:space="preserve"> - </v>
      </c>
      <c r="C17" s="498" t="str">
        <f>IF(ISNUMBER(NºAsuntos!I17/NºAsuntos!G17),NºAsuntos!I17/NºAsuntos!G17," - ")</f>
        <v xml:space="preserve"> - </v>
      </c>
      <c r="D17" s="499" t="str">
        <f>IF(ISNUMBER('Resol  Asuntos'!D17/NºAsuntos!G17),'Resol  Asuntos'!D17/NºAsuntos!G17," - ")</f>
        <v xml:space="preserve"> - </v>
      </c>
      <c r="E17" s="500" t="str">
        <f>IF(ISNUMBER((NºAsuntos!C17+NºAsuntos!E17)/NºAsuntos!G17),(NºAsuntos!C17+NºAsuntos!E17)/NºAsuntos!G17," - ")</f>
        <v xml:space="preserve"> - </v>
      </c>
      <c r="G17" s="523"/>
    </row>
    <row r="18" spans="1:7">
      <c r="A18" s="450" t="str">
        <f>Datos!A18</f>
        <v>Jdos. Violencia contra la mujer</v>
      </c>
      <c r="B18" s="497">
        <f>IF(ISNUMBER(NºAsuntos!G18/NºAsuntos!E18),NºAsuntos!G18/NºAsuntos!E18," - ")</f>
        <v>0.94936708860759489</v>
      </c>
      <c r="C18" s="498">
        <f>IF(ISNUMBER(NºAsuntos!I18/NºAsuntos!G18),NºAsuntos!I18/NºAsuntos!G18," - ")</f>
        <v>1.4888888888888889</v>
      </c>
      <c r="D18" s="499">
        <f>IF(ISNUMBER('Resol  Asuntos'!D18/NºAsuntos!G18),'Resol  Asuntos'!D18/NºAsuntos!G18," - ")</f>
        <v>0.17333333333333334</v>
      </c>
      <c r="E18" s="500">
        <f>IF(ISNUMBER((NºAsuntos!C18+NºAsuntos!E18)/NºAsuntos!G18),(NºAsuntos!C18+NºAsuntos!E18)/NºAsuntos!G18," - ")</f>
        <v>2.4888888888888889</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1.1315547378104875</v>
      </c>
      <c r="C23" s="1156">
        <f>IF(ISNUMBER(NºAsuntos!I23/NºAsuntos!G23),NºAsuntos!I23/NºAsuntos!G23," - ")</f>
        <v>0.75609756097560976</v>
      </c>
      <c r="D23" s="1159">
        <f>IF(ISNUMBER('Resol  Asuntos'!D23/NºAsuntos!G23),'Resol  Asuntos'!D23/NºAsuntos!G23," - ")</f>
        <v>6.8292682926829273E-2</v>
      </c>
      <c r="E23" s="1158">
        <f>IF(ISNUMBER((NºAsuntos!C23+NºAsuntos!E23)/NºAsuntos!G23),(NºAsuntos!C23+NºAsuntos!E23)/NºAsuntos!G23," - ")</f>
        <v>1.7528455284552846</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0.99615877080665816</v>
      </c>
      <c r="C31" s="1099">
        <f>IF(ISNUMBER(NºAsuntos!I31/NºAsuntos!G31),NºAsuntos!I31/NºAsuntos!G31," - ")</f>
        <v>1.3429305912596401</v>
      </c>
      <c r="D31" s="1100">
        <f>IF(ISNUMBER('Resol  Asuntos'!D31/NºAsuntos!G31),'Resol  Asuntos'!D31/NºAsuntos!G31," - ")</f>
        <v>0.11876606683804627</v>
      </c>
      <c r="E31" s="1101">
        <f>IF(ISNUMBER((NºAsuntos!C31+NºAsuntos!E31)/NºAsuntos!G31),(NºAsuntos!C31+NºAsuntos!E31)/NºAsuntos!G31," - ")</f>
        <v>2.3408740359897173</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k1DX4qRsa6FHn+h2JwfqloupPBWCz12LvKXU7+0HivN5+WLREXw+QFxtYzAYI393fH3X5bupsewM6cLe6WCCZg==" saltValue="hIGk6lJbTN/YCw//9hfP4A=="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ISLAS BALEARES</v>
      </c>
      <c r="G2" s="369"/>
      <c r="H2" s="368"/>
      <c r="I2" s="368"/>
      <c r="J2" s="368"/>
      <c r="K2" s="368"/>
      <c r="L2" s="368" t="str">
        <f>Criterios!A10 &amp;"  "&amp;Criterios!B10</f>
        <v>Provincias  ILLES BALEARS</v>
      </c>
      <c r="N2" s="368" t="str">
        <f>Criterios!A11 &amp;"  "&amp;Criterios!B11</f>
        <v>Resumenes por Partidos Judiciales  MANACOR</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1 al 1</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5</v>
      </c>
      <c r="B9" s="190" t="s">
        <v>321</v>
      </c>
      <c r="C9" s="173" t="str">
        <f>Datos!A9</f>
        <v xml:space="preserve">Jdos. 1ª Instancia   </v>
      </c>
      <c r="D9" s="173"/>
      <c r="E9" s="1402">
        <f>IF(ISNUMBER(Datos!AQ9),Datos!AQ9," - ")</f>
        <v>5</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328</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f>IF(ISNUMBER(Datos!Q9),Datos!Q9," - ")</f>
        <v>135</v>
      </c>
      <c r="Y9" s="374">
        <f>SUM(W9:X9)</f>
        <v>135</v>
      </c>
      <c r="Z9" s="375" t="str">
        <f>IF(ISNUMBER(Datos!CC9),Datos!CC9," - ")</f>
        <v xml:space="preserve"> - </v>
      </c>
      <c r="AA9" s="372" t="str">
        <f>IF(ISNUMBER(IF(J_V="SI",Datos!L9,Datos!L9+Datos!AB9)-IF(Monitorios="SI",Datos!CD9,0)),
                          IF(J_V="SI",Datos!L9,Datos!L9+Datos!AB9)-IF(Monitorios="SI",Datos!CD9,0),
                          " - ")</f>
        <v xml:space="preserve"> - </v>
      </c>
      <c r="AB9" s="374">
        <f>IF(ISNUMBER(Datos!R9),Datos!R9," - ")</f>
        <v>6523</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f>IF(ISNUMBER(Datos!M9),Datos!M9," - ")</f>
        <v>279</v>
      </c>
      <c r="AJ9" s="243" t="str">
        <f>IF(ISNUMBER(Datos!BW9),Datos!BW9," - ")</f>
        <v xml:space="preserve"> - </v>
      </c>
      <c r="AK9" s="242" t="str">
        <f>IF(ISNUMBER(Datos!BX9),Datos!BX9," - ")</f>
        <v xml:space="preserve"> - </v>
      </c>
      <c r="AL9" s="266">
        <f>IF(ISNUMBER(NºAsuntos!G9/NºAsuntos!E9),NºAsuntos!G9/NºAsuntos!E9," - ")</f>
        <v>0.81786133960047003</v>
      </c>
      <c r="AM9" s="284">
        <f>IF(ISNUMBER(((NºAsuntos!I9/NºAsuntos!G9)*11)/factor_trimestre),((NºAsuntos!I9/NºAsuntos!G9)*11)/factor_trimestre," - ")</f>
        <v>6.9978448275862064</v>
      </c>
      <c r="AN9" s="267">
        <f>IF(ISNUMBER('Resol  Asuntos'!D9/NºAsuntos!G9),'Resol  Asuntos'!D9/NºAsuntos!G9," - ")</f>
        <v>0.20043103448275862</v>
      </c>
      <c r="AO9" s="268">
        <f>IF(ISNUMBER((NºAsuntos!C9+NºAsuntos!E9)/NºAsuntos!G9),(NºAsuntos!C9+NºAsuntos!E9)/NºAsuntos!G9," - ")</f>
        <v>3.3326149425287355</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126</v>
      </c>
      <c r="G10" s="373">
        <f>IF(ISNUMBER(Datos!I10),Datos!I10," - ")</f>
        <v>126</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5</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38</v>
      </c>
      <c r="X10" s="240">
        <f>IF(ISNUMBER(Datos!Q10),Datos!Q10," - ")</f>
        <v>12</v>
      </c>
      <c r="Y10" s="374">
        <f t="shared" ref="Y10:Y13" si="0">SUM(W10:X10)</f>
        <v>50</v>
      </c>
      <c r="Z10" s="375" t="str">
        <f>IF(ISNUMBER(Datos!CC10),Datos!CC10," - ")</f>
        <v xml:space="preserve"> - </v>
      </c>
      <c r="AA10" s="372">
        <f>IF(ISNUMBER(Datos!L10),Datos!L10,"-")</f>
        <v>117</v>
      </c>
      <c r="AB10" s="374">
        <f>IF(ISNUMBER(Datos!R10),Datos!R10," - ")</f>
        <v>61</v>
      </c>
      <c r="AC10" s="374">
        <f t="shared" ref="AC10:AC13" si="1">IF(ISNUMBER(AA10+AB10),AA10+AB10," - ")</f>
        <v>178</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15</v>
      </c>
      <c r="AJ10" s="245" t="str">
        <f>IF(ISNUMBER(Datos!BW10),Datos!BW10," - ")</f>
        <v xml:space="preserve"> - </v>
      </c>
      <c r="AK10" s="246" t="str">
        <f>IF(ISNUMBER(Datos!BX10),Datos!BX10," - ")</f>
        <v xml:space="preserve"> - </v>
      </c>
      <c r="AL10" s="266">
        <f>IF(ISNUMBER(NºAsuntos!G10/NºAsuntos!E10),NºAsuntos!G10/NºAsuntos!E10," - ")</f>
        <v>1.3103448275862069</v>
      </c>
      <c r="AM10" s="284">
        <f>IF(ISNUMBER(((NºAsuntos!I10/NºAsuntos!G10)*11)/factor_trimestre),((NºAsuntos!I10/NºAsuntos!G10)*11)/factor_trimestre," - ")</f>
        <v>9.2368421052631593</v>
      </c>
      <c r="AN10" s="267">
        <f>IF(ISNUMBER('Resol  Asuntos'!D10/NºAsuntos!G10),'Resol  Asuntos'!D10/NºAsuntos!G10," - ")</f>
        <v>0.39473684210526316</v>
      </c>
      <c r="AO10" s="268">
        <f>IF(ISNUMBER((NºAsuntos!C10+NºAsuntos!E10)/NºAsuntos!G10),(NºAsuntos!C10+NºAsuntos!E10)/NºAsuntos!G10," - ")</f>
        <v>4.0789473684210522</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0</v>
      </c>
      <c r="B12" s="300" t="s">
        <v>321</v>
      </c>
      <c r="C12" s="7" t="str">
        <f>Datos!A12</f>
        <v xml:space="preserve">Jdos. 1ª Instª. e Instr.                        </v>
      </c>
      <c r="D12" s="7"/>
      <c r="E12" s="1402">
        <f>IF(ISNUMBER(Datos!AQ12),Datos!AQ12," - ")</f>
        <v>0</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0</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0</v>
      </c>
      <c r="Y12" s="374">
        <f t="shared" si="0"/>
        <v>0</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11</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0</v>
      </c>
      <c r="AJ12" s="243" t="str">
        <f>IF(ISNUMBER(Datos!BW12),Datos!BW12," - ")</f>
        <v xml:space="preserve"> - </v>
      </c>
      <c r="AK12" s="242" t="str">
        <f>IF(ISNUMBER(Datos!BX12),Datos!BX12," - ")</f>
        <v xml:space="preserve"> - </v>
      </c>
      <c r="AL12" s="266" t="str">
        <f>IF(ISNUMBER(NºAsuntos!G12/NºAsuntos!E12),NºAsuntos!G12/NºAsuntos!E12," - ")</f>
        <v xml:space="preserve"> - </v>
      </c>
      <c r="AM12" s="284" t="str">
        <f>IF(ISNUMBER(((NºAsuntos!I12/NºAsuntos!G12)*11)/factor_trimestre),((NºAsuntos!I12/NºAsuntos!G12)*11)/factor_trimestre," - ")</f>
        <v xml:space="preserve"> - </v>
      </c>
      <c r="AN12" s="267" t="str">
        <f>IF(ISNUMBER('Resol  Asuntos'!D12/NºAsuntos!G12),'Resol  Asuntos'!D12/NºAsuntos!G12," - ")</f>
        <v xml:space="preserve"> - </v>
      </c>
      <c r="AO12" s="268" t="str">
        <f>IF(ISNUMBER((NºAsuntos!C12+NºAsuntos!E12)/NºAsuntos!G12),(NºAsuntos!C12+NºAsuntos!E12)/NºAsuntos!G12," - ")</f>
        <v xml:space="preserve"> - </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5</v>
      </c>
      <c r="F14" s="1162">
        <f t="shared" si="5"/>
        <v>126</v>
      </c>
      <c r="G14" s="1163">
        <f t="shared" si="5"/>
        <v>126</v>
      </c>
      <c r="H14" s="1162">
        <f t="shared" si="5"/>
        <v>0</v>
      </c>
      <c r="I14" s="1164">
        <f t="shared" si="5"/>
        <v>0</v>
      </c>
      <c r="J14" s="1164">
        <f t="shared" si="5"/>
        <v>0</v>
      </c>
      <c r="K14" s="1164">
        <f t="shared" si="5"/>
        <v>0</v>
      </c>
      <c r="L14" s="1164">
        <f t="shared" si="5"/>
        <v>333</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38</v>
      </c>
      <c r="X14" s="1164">
        <f t="shared" si="6"/>
        <v>147</v>
      </c>
      <c r="Y14" s="1165">
        <f t="shared" si="6"/>
        <v>185</v>
      </c>
      <c r="Z14" s="1165">
        <f t="shared" si="6"/>
        <v>0</v>
      </c>
      <c r="AA14" s="1165">
        <f t="shared" si="6"/>
        <v>117</v>
      </c>
      <c r="AB14" s="1165">
        <f t="shared" si="6"/>
        <v>6595</v>
      </c>
      <c r="AC14" s="1165">
        <f t="shared" si="6"/>
        <v>178</v>
      </c>
      <c r="AD14" s="1165">
        <f t="shared" si="6"/>
        <v>0</v>
      </c>
      <c r="AE14" s="1169">
        <f t="shared" si="6"/>
        <v>0</v>
      </c>
      <c r="AF14" s="1162">
        <f t="shared" si="6"/>
        <v>0</v>
      </c>
      <c r="AG14" s="1170">
        <f t="shared" si="6"/>
        <v>0</v>
      </c>
      <c r="AH14" s="1167">
        <f t="shared" si="6"/>
        <v>0</v>
      </c>
      <c r="AI14" s="1162">
        <f t="shared" si="6"/>
        <v>294</v>
      </c>
      <c r="AJ14" s="1164">
        <f t="shared" si="6"/>
        <v>0</v>
      </c>
      <c r="AK14" s="1167">
        <f>SUBTOTAL(9,AK9:AK13)</f>
        <v>0</v>
      </c>
      <c r="AL14" s="1171">
        <f>IF(ISNUMBER(NºAsuntos!G14/NºAsuntos!E14),NºAsuntos!G14/NºAsuntos!E14," - ")</f>
        <v>0.82611207394569608</v>
      </c>
      <c r="AM14" s="1171">
        <f>IF(ISNUMBER(((NºAsuntos!I14/NºAsuntos!G14)*11)/factor_trimestre),((NºAsuntos!I14/NºAsuntos!G14)*11)/factor_trimestre," - ")</f>
        <v>7.0573426573426579</v>
      </c>
      <c r="AN14" s="1172">
        <f>IF(ISNUMBER('Resol  Asuntos'!D14/NºAsuntos!G14),'Resol  Asuntos'!D14/NºAsuntos!G14," - ")</f>
        <v>0.20559440559440559</v>
      </c>
      <c r="AO14" s="1173">
        <f>IF(ISNUMBER((NºAsuntos!C14+NºAsuntos!E14)/NºAsuntos!G14),(NºAsuntos!C14+NºAsuntos!E14)/NºAsuntos!G14," - ")</f>
        <v>3.3524475524475523</v>
      </c>
      <c r="AP14" s="1174" t="str">
        <f t="shared" si="2"/>
        <v xml:space="preserve"> - </v>
      </c>
      <c r="AQ14" s="1174">
        <f>IF(ISNUMBER((H14-W14+K14)/(F14)),(H14-W14+K14)/(F14)," - ")</f>
        <v>-0.30158730158730157</v>
      </c>
      <c r="AR14" s="1175">
        <f>IF(ISNUMBER((Datos!P14-Datos!Q14)/(Datos!R14-Datos!P14+Datos!Q14)),(Datos!P14-Datos!Q14)/(Datos!R14-Datos!P14+Datos!Q14)," - ")</f>
        <v>2.9021688250897175E-2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3</v>
      </c>
      <c r="B16" s="300" t="s">
        <v>511</v>
      </c>
      <c r="C16" s="173" t="str">
        <f>Datos!A16</f>
        <v xml:space="preserve">Jdos. Instrucción                               </v>
      </c>
      <c r="D16" s="173"/>
      <c r="E16" s="1402">
        <f>IF(ISNUMBER(Datos!AQ16),Datos!AQ16," - ")</f>
        <v>3</v>
      </c>
      <c r="F16" s="239">
        <f>IF(ISNUMBER(AA16+W16-Datos!J16-K16),AA16+W16-Datos!J16-K16," - ")</f>
        <v>1823</v>
      </c>
      <c r="G16" s="373">
        <f>IF(ISNUMBER(IF(D_I="SI",Datos!I16,Datos!I16+Datos!AC16)),IF(D_I="SI",Datos!I16,Datos!I16+Datos!AC16)," - ")</f>
        <v>1815</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32</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f>IF(ISNUMBER(IF(D_I="SI",Datos!K16,Datos!K16+Datos!AE16)),IF(D_I="SI",Datos!K16,Datos!K16+Datos!AE16)," - ")</f>
        <v>2235</v>
      </c>
      <c r="X16" s="240">
        <f>IF(ISNUMBER(Datos!Q16),Datos!Q16," - ")</f>
        <v>56</v>
      </c>
      <c r="Y16" s="374">
        <f>SUM(W16)</f>
        <v>2235</v>
      </c>
      <c r="Z16" s="375" t="str">
        <f>IF(ISNUMBER(Datos!CC16),Datos!CC16," - ")</f>
        <v xml:space="preserve"> - </v>
      </c>
      <c r="AA16" s="372">
        <f>IF(ISNUMBER(IF(D_I="SI",Datos!L16,Datos!L16+Datos!AF16)),IF(D_I="SI",Datos!L16,Datos!L16+Datos!AF16)," - ")</f>
        <v>1525</v>
      </c>
      <c r="AB16" s="374">
        <f>IF(ISNUMBER(Datos!R16),Datos!R16," - ")</f>
        <v>241</v>
      </c>
      <c r="AC16" s="374">
        <f t="shared" ref="AC16:AC22" si="8">IF(ISNUMBER(AA16+AB16),AA16+AB16," - ")</f>
        <v>1766</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f>IF(ISNUMBER(Datos!M16),Datos!M16," - ")</f>
        <v>129</v>
      </c>
      <c r="AJ16" s="245" t="str">
        <f>IF(ISNUMBER(Datos!BW16),Datos!BW16," - ")</f>
        <v xml:space="preserve"> - </v>
      </c>
      <c r="AK16" s="246" t="str">
        <f>IF(ISNUMBER(Datos!BX16),Datos!BX16," - ")</f>
        <v xml:space="preserve"> - </v>
      </c>
      <c r="AL16" s="266">
        <f>IF(ISNUMBER(NºAsuntos!G16/NºAsuntos!E16),NºAsuntos!G16/NºAsuntos!E16," - ")</f>
        <v>1.1538461538461537</v>
      </c>
      <c r="AM16" s="284">
        <f>IF(ISNUMBER(((NºAsuntos!I16/NºAsuntos!G16)*11)/factor_trimestre),((NºAsuntos!I16/NºAsuntos!G16)*11)/factor_trimestre," - ")</f>
        <v>2.0469798657718119</v>
      </c>
      <c r="AN16" s="267">
        <f>IF(ISNUMBER('Resol  Asuntos'!D16/NºAsuntos!G16),'Resol  Asuntos'!D16/NºAsuntos!G16," - ")</f>
        <v>5.771812080536913E-2</v>
      </c>
      <c r="AO16" s="268">
        <f>IF(ISNUMBER((NºAsuntos!C16+NºAsuntos!E16)/NºAsuntos!G16),(NºAsuntos!C16+NºAsuntos!E16)/NºAsuntos!G16," - ")</f>
        <v>1.6787472035794184</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0</v>
      </c>
      <c r="B17" s="300" t="s">
        <v>511</v>
      </c>
      <c r="C17" s="173" t="str">
        <f>Datos!A17</f>
        <v xml:space="preserve">Jdos. 1ª Instª. e Instr.                        </v>
      </c>
      <c r="D17" s="173"/>
      <c r="E17" s="1402">
        <f>IF(ISNUMBER(Datos!AQ17),Datos!AQ17," - ")</f>
        <v>0</v>
      </c>
      <c r="F17" s="239" t="str">
        <f>IF(ISNUMBER(AA17+W17-Datos!J17-K17),AA17+W17-Datos!J17-K17," - ")</f>
        <v xml:space="preserve"> - </v>
      </c>
      <c r="G17" s="373" t="str">
        <f>IF(ISNUMBER(IF(D_I="SI",Datos!I17,Datos!I17+Datos!AC17)),IF(D_I="SI",Datos!I17,Datos!I17+Datos!AC17)," - ")</f>
        <v xml:space="preserve"> - </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t="str">
        <f>IF(ISNUMBER(IF(D_I="SI",Datos!K17,Datos!K17+Datos!AE17)),IF(D_I="SI",Datos!K17,Datos!K17+Datos!AE17)," - ")</f>
        <v xml:space="preserve"> - </v>
      </c>
      <c r="X17" s="240" t="str">
        <f>IF(ISNUMBER(Datos!Q17),Datos!Q17," - ")</f>
        <v xml:space="preserve"> - </v>
      </c>
      <c r="Y17" s="374">
        <f t="shared" ref="Y17:Y22" si="9">SUM(W17:X17)</f>
        <v>0</v>
      </c>
      <c r="Z17" s="375" t="str">
        <f>IF(ISNUMBER(Datos!CC17),Datos!CC17," - ")</f>
        <v xml:space="preserve"> - </v>
      </c>
      <c r="AA17" s="372" t="str">
        <f>IF(ISNUMBER(IF(D_I="SI",Datos!L17,Datos!L17+Datos!AF17)),IF(D_I="SI",Datos!L17,Datos!L17+Datos!AF17)," - ")</f>
        <v xml:space="preserve"> - </v>
      </c>
      <c r="AB17" s="374" t="str">
        <f>IF(ISNUMBER(Datos!R17),Datos!R17," - ")</f>
        <v xml:space="preserve"> - </v>
      </c>
      <c r="AC17" s="374" t="str">
        <f t="shared" si="8"/>
        <v xml:space="preserve"> - </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t="str">
        <f>IF(ISNUMBER(Datos!M17),Datos!M17," - ")</f>
        <v xml:space="preserve"> - </v>
      </c>
      <c r="AJ17" s="245" t="str">
        <f>IF(ISNUMBER(Datos!BW17),Datos!BW17," - ")</f>
        <v xml:space="preserve"> - </v>
      </c>
      <c r="AK17" s="246" t="str">
        <f>IF(ISNUMBER(Datos!BX17),Datos!BX17," - ")</f>
        <v xml:space="preserve"> - </v>
      </c>
      <c r="AL17" s="266" t="str">
        <f>IF(ISNUMBER(NºAsuntos!G17/NºAsuntos!E17),NºAsuntos!G17/NºAsuntos!E17," - ")</f>
        <v xml:space="preserve"> - </v>
      </c>
      <c r="AM17" s="284" t="str">
        <f>IF(ISNUMBER(((NºAsuntos!I17/NºAsuntos!G17)*11)/factor_trimestre),((NºAsuntos!I17/NºAsuntos!G17)*11)/factor_trimestre," - ")</f>
        <v xml:space="preserve"> - </v>
      </c>
      <c r="AN17" s="267" t="str">
        <f>IF(ISNUMBER('Resol  Asuntos'!D17/NºAsuntos!G17),'Resol  Asuntos'!D17/NºAsuntos!G17," - ")</f>
        <v xml:space="preserve"> - </v>
      </c>
      <c r="AO17" s="268" t="str">
        <f>IF(ISNUMBER((NºAsuntos!C17+NºAsuntos!E17)/NºAsuntos!G17),(NºAsuntos!C17+NºAsuntos!E17)/NºAsuntos!G17," - ")</f>
        <v xml:space="preserve"> - </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323</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4</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225</v>
      </c>
      <c r="X18" s="240">
        <f>IF(ISNUMBER(Datos!Q18),Datos!Q18," - ")</f>
        <v>11</v>
      </c>
      <c r="Y18" s="374">
        <f t="shared" si="9"/>
        <v>236</v>
      </c>
      <c r="Z18" s="375" t="str">
        <f>IF(ISNUMBER(Datos!CC18),Datos!CC18," - ")</f>
        <v xml:space="preserve"> - </v>
      </c>
      <c r="AA18" s="372">
        <f>IF(ISNUMBER(Datos!L18),Datos!L18,"-")</f>
        <v>335</v>
      </c>
      <c r="AB18" s="374">
        <f>IF(ISNUMBER(Datos!R18),Datos!R18," - ")</f>
        <v>25</v>
      </c>
      <c r="AC18" s="374">
        <f t="shared" si="8"/>
        <v>360</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39</v>
      </c>
      <c r="AJ18" s="245" t="str">
        <f>IF(ISNUMBER(Datos!BW18),Datos!BW18," - ")</f>
        <v xml:space="preserve"> - </v>
      </c>
      <c r="AK18" s="246" t="str">
        <f>IF(ISNUMBER(Datos!BX18),Datos!BX18," - ")</f>
        <v xml:space="preserve"> - </v>
      </c>
      <c r="AL18" s="266">
        <f>IF(ISNUMBER(NºAsuntos!G18/NºAsuntos!E18),NºAsuntos!G18/NºAsuntos!E18," - ")</f>
        <v>0.94936708860759489</v>
      </c>
      <c r="AM18" s="284">
        <f>IF(ISNUMBER(((NºAsuntos!I18/NºAsuntos!G18)*11)/factor_trimestre),((NºAsuntos!I18/NºAsuntos!G18)*11)/factor_trimestre," - ")</f>
        <v>4.4666666666666677</v>
      </c>
      <c r="AN18" s="267">
        <f>IF(ISNUMBER('Resol  Asuntos'!D18/NºAsuntos!G18),'Resol  Asuntos'!D18/NºAsuntos!G18," - ")</f>
        <v>0.17333333333333334</v>
      </c>
      <c r="AO18" s="268">
        <f>IF(ISNUMBER((NºAsuntos!C18+NºAsuntos!E18)/NºAsuntos!G18),(NºAsuntos!C18+NºAsuntos!E18)/NºAsuntos!G18," - ")</f>
        <v>2.4888888888888889</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3</v>
      </c>
      <c r="F23" s="1162">
        <f>SUBTOTAL(9,F15:F22)</f>
        <v>1823</v>
      </c>
      <c r="G23" s="1163">
        <f>SUBTOTAL(9,G16:G22)</f>
        <v>2138</v>
      </c>
      <c r="H23" s="1162">
        <f t="shared" ref="H23:O23" si="13">SUBTOTAL(9,H15:H22)</f>
        <v>0</v>
      </c>
      <c r="I23" s="1164">
        <f t="shared" si="13"/>
        <v>0</v>
      </c>
      <c r="J23" s="1164">
        <f t="shared" si="13"/>
        <v>0</v>
      </c>
      <c r="K23" s="1164">
        <f t="shared" si="13"/>
        <v>0</v>
      </c>
      <c r="L23" s="1164">
        <f t="shared" si="13"/>
        <v>36</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2460</v>
      </c>
      <c r="X23" s="1164">
        <f t="shared" si="14"/>
        <v>67</v>
      </c>
      <c r="Y23" s="1165">
        <f t="shared" si="14"/>
        <v>2471</v>
      </c>
      <c r="Z23" s="1165">
        <f t="shared" si="14"/>
        <v>0</v>
      </c>
      <c r="AA23" s="1165">
        <f t="shared" si="14"/>
        <v>1860</v>
      </c>
      <c r="AB23" s="1165">
        <f t="shared" si="14"/>
        <v>266</v>
      </c>
      <c r="AC23" s="1165">
        <f t="shared" si="14"/>
        <v>2126</v>
      </c>
      <c r="AD23" s="1165">
        <f t="shared" si="14"/>
        <v>0</v>
      </c>
      <c r="AE23" s="1169">
        <f t="shared" si="14"/>
        <v>0</v>
      </c>
      <c r="AF23" s="1162">
        <f t="shared" si="14"/>
        <v>0</v>
      </c>
      <c r="AG23" s="1170">
        <f t="shared" si="14"/>
        <v>0</v>
      </c>
      <c r="AH23" s="1167">
        <f t="shared" si="14"/>
        <v>0</v>
      </c>
      <c r="AI23" s="1162">
        <f t="shared" si="14"/>
        <v>168</v>
      </c>
      <c r="AJ23" s="1164">
        <f t="shared" si="14"/>
        <v>0</v>
      </c>
      <c r="AK23" s="1167">
        <f t="shared" si="14"/>
        <v>0</v>
      </c>
      <c r="AL23" s="1171">
        <f>IF(ISNUMBER(NºAsuntos!G23/NºAsuntos!E23),NºAsuntos!G23/NºAsuntos!E23," - ")</f>
        <v>1.1315547378104875</v>
      </c>
      <c r="AM23" s="1171">
        <f>IF(ISNUMBER(((NºAsuntos!I23/NºAsuntos!G23)*11)/factor_trimestre),((NºAsuntos!I23/NºAsuntos!G23)*11)/factor_trimestre," - ")</f>
        <v>2.2682926829268291</v>
      </c>
      <c r="AN23" s="1172">
        <f>IF(ISNUMBER('Resol  Asuntos'!D23/NºAsuntos!G23),'Resol  Asuntos'!D23/NºAsuntos!G23," - ")</f>
        <v>6.8292682926829273E-2</v>
      </c>
      <c r="AO23" s="1173">
        <f>IF(ISNUMBER((NºAsuntos!C23+NºAsuntos!E23)/NºAsuntos!G23),(NºAsuntos!C23+NºAsuntos!E23)/NºAsuntos!G23," - ")</f>
        <v>1.7528455284552846</v>
      </c>
      <c r="AP23" s="1174" t="str">
        <f t="shared" si="2"/>
        <v xml:space="preserve"> - </v>
      </c>
      <c r="AQ23" s="1174">
        <f>IF(ISNUMBER((H23-W23+K23)/(F23)),(H23-W23+K23)/(F23)," - ")</f>
        <v>-1.3494240263302248</v>
      </c>
      <c r="AR23" s="1175">
        <f>IF(ISNUMBER((Datos!P23-Datos!Q23)/(Datos!R23-Datos!P23+Datos!Q23)),(Datos!P23-Datos!Q23)/(Datos!R23-Datos!P23+Datos!Q23)," - ")</f>
        <v>-0.10437710437710437</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8</v>
      </c>
      <c r="F31" s="1117">
        <f t="shared" si="20"/>
        <v>1949</v>
      </c>
      <c r="G31" s="1118">
        <f t="shared" si="20"/>
        <v>2264</v>
      </c>
      <c r="H31" s="1117">
        <f t="shared" si="20"/>
        <v>0</v>
      </c>
      <c r="I31" s="1119">
        <f t="shared" si="20"/>
        <v>0</v>
      </c>
      <c r="J31" s="1119">
        <f t="shared" si="20"/>
        <v>0</v>
      </c>
      <c r="K31" s="1180">
        <f t="shared" si="20"/>
        <v>0</v>
      </c>
      <c r="L31" s="1119">
        <f t="shared" si="20"/>
        <v>369</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2498</v>
      </c>
      <c r="X31" s="1118">
        <f t="shared" si="21"/>
        <v>214</v>
      </c>
      <c r="Y31" s="1125">
        <f t="shared" si="21"/>
        <v>2656</v>
      </c>
      <c r="Z31" s="1125">
        <f t="shared" si="21"/>
        <v>0</v>
      </c>
      <c r="AA31" s="1125">
        <f t="shared" si="21"/>
        <v>1977</v>
      </c>
      <c r="AB31" s="1125">
        <f t="shared" si="21"/>
        <v>6861</v>
      </c>
      <c r="AC31" s="1125">
        <f t="shared" si="21"/>
        <v>2304</v>
      </c>
      <c r="AD31" s="1125">
        <f t="shared" si="21"/>
        <v>0</v>
      </c>
      <c r="AE31" s="1127">
        <f t="shared" si="21"/>
        <v>0</v>
      </c>
      <c r="AF31" s="1128">
        <f t="shared" si="21"/>
        <v>0</v>
      </c>
      <c r="AG31" s="1129">
        <f t="shared" si="21"/>
        <v>0</v>
      </c>
      <c r="AH31" s="1127">
        <f t="shared" si="21"/>
        <v>0</v>
      </c>
      <c r="AI31" s="1117">
        <f t="shared" si="21"/>
        <v>462</v>
      </c>
      <c r="AJ31" s="1117">
        <f t="shared" si="21"/>
        <v>0</v>
      </c>
      <c r="AK31" s="1127">
        <f t="shared" si="21"/>
        <v>0</v>
      </c>
      <c r="AL31" s="1183">
        <f>IF(ISNUMBER(NºAsuntos!G31/NºAsuntos!E31),NºAsuntos!G31/NºAsuntos!E31," - ")</f>
        <v>0.99615877080665816</v>
      </c>
      <c r="AM31" s="1184">
        <f>IF(ISNUMBER(((NºAsuntos!I31/NºAsuntos!G31)*11)/factor_trimestre),((NºAsuntos!I31/NºAsuntos!G31)*11)/factor_trimestre," - ")</f>
        <v>4.0287917737789201</v>
      </c>
      <c r="AN31" s="1184">
        <f>IF(ISNUMBER('Resol  Asuntos'!D31/NºAsuntos!G31),'Resol  Asuntos'!D31/NºAsuntos!G31," - ")</f>
        <v>0.11876606683804627</v>
      </c>
      <c r="AO31" s="1185">
        <f>IF(ISNUMBER((NºAsuntos!C31+NºAsuntos!E31)/NºAsuntos!G31),(NºAsuntos!C31+NºAsuntos!E31)/NºAsuntos!G31," - ")</f>
        <v>2.3408740359897173</v>
      </c>
      <c r="AP31" s="1186" t="str">
        <f t="shared" si="2"/>
        <v xml:space="preserve"> - </v>
      </c>
      <c r="AQ31" s="1187">
        <f>IF(OR(ISNUMBER(FIND("01",Criterios!A8,1)),ISNUMBER(FIND("02",Criterios!A8,1)),ISNUMBER(FIND("03",Criterios!A8,1)),ISNUMBER(FIND("04",Criterios!A8,1))),(I31-W31+K31)/(F31-K31),(H31-W31+K31)/(F31-K31))</f>
        <v>-1.2816829143150335</v>
      </c>
      <c r="AR31" s="1188">
        <f>IF(ISNUMBER((Datos!P31-Datos!Q31)/(Datos!R31-Datos!P31+Datos!Q31)),(Datos!P31-Datos!Q31)/(Datos!R31-Datos!P31+Datos!Q31)," - ")</f>
        <v>2.3113629585445869E-2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646.85714285714289</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1.7404711333664431</v>
      </c>
      <c r="F33" s="276">
        <f>IF(ISNUMBER(STDEV(F8:F30)),STDEV(F8:F30),"-")</f>
        <v>910.60521998650256</v>
      </c>
      <c r="G33" s="277">
        <f>IF(ISNUMBER(STDEV(G8:G30)),STDEV(G8:G30),"-")</f>
        <v>919.4546261364992</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1120.611546475958</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120.42840196564929</v>
      </c>
      <c r="AJ33" s="276">
        <f t="shared" si="25"/>
        <v>0</v>
      </c>
      <c r="AK33" s="278">
        <f t="shared" si="25"/>
        <v>0</v>
      </c>
      <c r="AL33" s="273">
        <f t="shared" si="25"/>
        <v>0.19864816187008577</v>
      </c>
      <c r="AM33" s="274">
        <f t="shared" si="25"/>
        <v>2.8956857534078981</v>
      </c>
      <c r="AN33" s="274">
        <f t="shared" si="25"/>
        <v>0.12214160734228027</v>
      </c>
      <c r="AO33" s="275">
        <f t="shared" si="25"/>
        <v>0.96673575373515974</v>
      </c>
      <c r="AP33" s="317" t="str">
        <f t="shared" si="25"/>
        <v>-</v>
      </c>
      <c r="AQ33" s="318">
        <f t="shared" si="25"/>
        <v>0.74093245364202287</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9G3w9s32gzHaSMHp6J/y8C++I+7jbBXwhB5AD/pt042ArkYJezL1zNGyyXsP+uOKlttTM+F271c6l9mn95IzAg==" saltValue="3oK73mYYiMnk8EtjCz0Sc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ISLAS BALEARES</v>
      </c>
      <c r="E2" s="287"/>
    </row>
    <row r="3" spans="2:20" ht="17.25" customHeight="1">
      <c r="C3" s="291"/>
      <c r="D3" s="286" t="str">
        <f>Criterios!A10 &amp;"  "&amp;Criterios!B10</f>
        <v>Provincias  ILLES BALEARS</v>
      </c>
      <c r="E3" s="287"/>
    </row>
    <row r="4" spans="2:20" ht="17.25" customHeight="1" thickBot="1">
      <c r="D4" s="286" t="str">
        <f>Criterios!A11 &amp;"  "&amp;Criterios!B11</f>
        <v>Resumenes por Partidos Judiciales  MANACOR</v>
      </c>
      <c r="E4" s="287"/>
    </row>
    <row r="5" spans="2:20" ht="12.75" customHeight="1">
      <c r="B5" s="297"/>
      <c r="C5" s="1649" t="str">
        <f>"Año:  " &amp;Criterios!B5 &amp; "          Trimestre   " &amp;Criterios!D5 &amp; " al " &amp;Criterios!D6</f>
        <v>Año:  2022          Trimestre   1 al 1</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f>IF(ISNUMBER((Datos!M9-Datos!W9)/Datos!W9),(Datos!M9-Datos!W9)/Datos!W9," - ")</f>
        <v>-0.23351648351648352</v>
      </c>
      <c r="I9" s="395">
        <f>IF(ISNUMBER((Tasas!C9-Datos!BE9)/Datos!BE9),(Tasas!C9-Datos!BE9)/Datos!BE9," - ")</f>
        <v>0.2093477614485087</v>
      </c>
      <c r="J9" s="394">
        <f>IF(ISNUMBER((Tasas!D9-Datos!BF9)/Datos!BF9),(Tasas!D9-Datos!BF9)/Datos!BF9," - ")</f>
        <v>-0.50394184384491691</v>
      </c>
      <c r="K9" s="396">
        <f>IF(ISNUMBER((Tasas!E9-Datos!BG9)/Datos!BG9),(Tasas!E9-Datos!BG9)/Datos!BG9," - ")</f>
        <v>0.13977021781472018</v>
      </c>
      <c r="M9" t="e">
        <f>IF(Monitorios="SI",Datos!CE9,0)</f>
        <v>#REF!</v>
      </c>
      <c r="N9" t="e">
        <f>IF(Monitorios="SI",Datos!CF9,0)</f>
        <v>#REF!</v>
      </c>
      <c r="O9" t="e">
        <f>IF(Monitorios="SI",Datos!CG9,0)</f>
        <v>#REF!</v>
      </c>
      <c r="P9" t="e">
        <f>IF(Monitorios="SI",Datos!CH9,0)</f>
        <v>#REF!</v>
      </c>
      <c r="Q9">
        <f>IF(J_V="SI",0,Datos!AG9)</f>
        <v>195</v>
      </c>
      <c r="R9">
        <f>IF(J_V="SI",0,Datos!AH9)</f>
        <v>133</v>
      </c>
      <c r="S9">
        <f>IF(J_V="SI",0,Datos!AI9)</f>
        <v>138</v>
      </c>
      <c r="T9">
        <f>IF(J_V="SI",0,Datos!AJ9)</f>
        <v>190</v>
      </c>
    </row>
    <row r="10" spans="2:20" ht="14.25">
      <c r="B10" s="300" t="s">
        <v>321</v>
      </c>
      <c r="C10" s="7" t="str">
        <f>Datos!A10</f>
        <v>Jdos. Violencia contra la mujer</v>
      </c>
      <c r="D10" s="397">
        <f>IF(ISNUMBER((Datos!I10-Datos!S10)/Datos!S10),(Datos!I10-Datos!S10)/Datos!S10," - ")</f>
        <v>0.38461538461538464</v>
      </c>
      <c r="E10" s="393">
        <f>IF(ISNUMBER((Datos!J10-Datos!T10)/Datos!T10),(Datos!J10-Datos!T10)/Datos!T10," - ")</f>
        <v>0.61111111111111116</v>
      </c>
      <c r="F10" s="393">
        <f>IF(ISNUMBER((Datos!K10-Datos!U10)/Datos!U10),(Datos!K10-Datos!U10)/Datos!U10," - ")</f>
        <v>1.5333333333333334</v>
      </c>
      <c r="G10" s="394">
        <f>IF(ISNUMBER((Datos!L10-Datos!V10)/Datos!V10),(Datos!L10-Datos!V10)/Datos!V10," - ")</f>
        <v>0.24468085106382978</v>
      </c>
      <c r="H10" s="244">
        <f>IF(ISNUMBER((Datos!M10-Datos!W10)/Datos!W10),(Datos!M10-Datos!W10)/Datos!W10," - ")</f>
        <v>0.5</v>
      </c>
      <c r="I10" s="395">
        <f>IF(ISNUMBER((Tasas!C10-Datos!BE10)/Datos!BE10),(Tasas!C10-Datos!BE10)/Datos!BE10," - ")</f>
        <v>-0.50867861142217241</v>
      </c>
      <c r="J10" s="394">
        <f>IF(ISNUMBER((Tasas!D10-Datos!BF10)/Datos!BF10),(Tasas!D10-Datos!BF10)/Datos!BF10," - ")</f>
        <v>-0.4078947368421052</v>
      </c>
      <c r="K10" s="396">
        <f>IF(ISNUMBER((Tasas!E10-Datos!BG10)/Datos!BG10),(Tasas!E10-Datos!BG10)/Datos!BG10," - ")</f>
        <v>-0.43867696764847902</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t="str">
        <f>IF(ISNUMBER((Datos!M12-Datos!W12)/Datos!W12),(Datos!M12-Datos!W12)/Datos!W12," - ")</f>
        <v xml:space="preserve"> - </v>
      </c>
      <c r="I12" s="395" t="str">
        <f>IF(ISNUMBER((Tasas!C12-Datos!BE12)/Datos!BE12),(Tasas!C12-Datos!BE12)/Datos!BE12," - ")</f>
        <v xml:space="preserve"> - </v>
      </c>
      <c r="J12" s="394" t="str">
        <f>IF(ISNUMBER((Tasas!D12-Datos!BF12)/Datos!BF12),(Tasas!D12-Datos!BF12)/Datos!BF12," - ")</f>
        <v xml:space="preserve"> - </v>
      </c>
      <c r="K12" s="396"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-0.21390374331550802</v>
      </c>
      <c r="I14" s="402">
        <f>IF(ISNUMBER((Tasas!C14-Datos!BE14)/Datos!BE14),(Tasas!C14-Datos!BE14)/Datos!BE14," - ")</f>
        <v>0.18605294427021443</v>
      </c>
      <c r="J14" s="400">
        <f>IF(ISNUMBER((Tasas!D14-Datos!BF14)/Datos!BF14),(Tasas!D14-Datos!BF14)/Datos!BF14," - ")</f>
        <v>-0.49456587555059545</v>
      </c>
      <c r="K14" s="403">
        <f>IF(ISNUMBER((Tasas!E14-Datos!BG14)/Datos!BG14),(Tasas!E14-Datos!BG14)/Datos!BG14," - ")</f>
        <v>0.12551450404452952</v>
      </c>
      <c r="M14" t="e">
        <f>IF(Monitorios="SI",Datos!CE14,0)</f>
        <v>#REF!</v>
      </c>
      <c r="N14" t="e">
        <f>IF(Monitorios="SI",Datos!CF14,0)</f>
        <v>#REF!</v>
      </c>
      <c r="O14" t="e">
        <f>IF(Monitorios="SI",Datos!CG14,0)</f>
        <v>#REF!</v>
      </c>
      <c r="P14" t="e">
        <f>IF(Monitorios="SI",Datos!CH14,0)</f>
        <v>#REF!</v>
      </c>
      <c r="Q14">
        <f>IF(J_V="SI",0,Datos!AG14)</f>
        <v>195</v>
      </c>
      <c r="R14">
        <f>IF(J_V="SI",0,Datos!AH14)</f>
        <v>133</v>
      </c>
      <c r="S14">
        <f>IF(J_V="SI",0,Datos!AI14)</f>
        <v>138</v>
      </c>
      <c r="T14">
        <f>IF(J_V="SI",0,Datos!AJ14)</f>
        <v>190</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f>IF(ISNUMBER(
   IF(D_I="SI",(Datos!I16-Datos!S16)/Datos!S16,(Datos!I16+Datos!AC16-(Datos!S16+Datos!AK16))/(Datos!S16+Datos!AK16))
     ),IF(D_I="SI",(Datos!I16-Datos!S16)/Datos!S16,(Datos!I16+Datos!AC16-(Datos!S16+Datos!AK16))/(Datos!S16+Datos!AK16))," - ")</f>
        <v>-0.20008814455707361</v>
      </c>
      <c r="E16" s="393">
        <f>IF(ISNUMBER(
   IF(D_I="SI",(Datos!J16-Datos!T16)/Datos!T16,(Datos!J16+Datos!AD16-(Datos!T16+Datos!AL16))/(Datos!T16+Datos!AL16))
     ),IF(D_I="SI",(Datos!J16-Datos!T16)/Datos!T16,(Datos!J16+Datos!AD16-(Datos!T16+Datos!AL16))/(Datos!T16+Datos!AL16))," - ")</f>
        <v>0.337707182320442</v>
      </c>
      <c r="F16" s="393">
        <f>IF(ISNUMBER(
   IF(D_I="SI",(Datos!K16-Datos!U16)/Datos!U16,(Datos!K16+Datos!AE16-(Datos!U16+Datos!AM16))/(Datos!U16+Datos!AM16))
     ),IF(D_I="SI",(Datos!K16-Datos!U16)/Datos!U16,(Datos!K16+Datos!AE16-(Datos!U16+Datos!AM16))/(Datos!U16+Datos!AM16))," - ")</f>
        <v>0.53502747252747251</v>
      </c>
      <c r="G16" s="394">
        <f>IF(ISNUMBER(
   IF(D_I="SI",(Datos!L16-Datos!V16)/Datos!V16,(Datos!L16+Datos!AF16-(Datos!V16+Datos!AN16))/(Datos!V16+Datos!AN16))
     ),IF(D_I="SI",(Datos!L16-Datos!V16)/Datos!V16,(Datos!L16+Datos!AF16-(Datos!V16+Datos!AN16))/(Datos!V16+Datos!AN16))," - ")</f>
        <v>-0.32848965213562309</v>
      </c>
      <c r="H16" s="244">
        <f>IF(ISNUMBER((Datos!M16-Datos!W16)/Datos!W16),(Datos!M16-Datos!W16)/Datos!W16," - ")</f>
        <v>-0.11643835616438356</v>
      </c>
      <c r="I16" s="395">
        <f>IF(ISNUMBER((Tasas!C16-Datos!BE16)/Datos!BE16),(Tasas!C16-Datos!BE16)/Datos!BE16," - ")</f>
        <v>-0.56254180470222248</v>
      </c>
      <c r="J16" s="394">
        <f>IF(ISNUMBER((Tasas!D16-Datos!BF16)/Datos!BF16),(Tasas!D16-Datos!BF16)/Datos!BF16," - ")</f>
        <v>-0.424400110324538</v>
      </c>
      <c r="K16" s="396">
        <f>IF(ISNUMBER((Tasas!E16-Datos!BG16)/Datos!BG16),(Tasas!E16-Datos!BG16)/Datos!BG16," - ")</f>
        <v>-0.34241164153574571</v>
      </c>
    </row>
    <row r="17" spans="2:20" ht="14.25">
      <c r="B17" s="300" t="s">
        <v>511</v>
      </c>
      <c r="C17" s="7" t="str">
        <f>Datos!A17</f>
        <v xml:space="preserve">Jdos. 1ª Instª. e Instr.                        </v>
      </c>
      <c r="D17" s="397" t="str">
        <f>IF(ISNUMBER(
   IF(D_I="SI",(Datos!I17-Datos!S17)/Datos!S17,(Datos!I17+Datos!AC17-(Datos!S17+Datos!AK17))/(Datos!S17+Datos!AK17))
     ),IF(D_I="SI",(Datos!I17-Datos!S17)/Datos!S17,(Datos!I17+Datos!AC17-(Datos!S17+Datos!AK17))/(Datos!S17+Datos!AK17))," - ")</f>
        <v xml:space="preserve"> - </v>
      </c>
      <c r="E17" s="393" t="str">
        <f>IF(ISNUMBER(
   IF(D_I="SI",(Datos!J17-Datos!T17)/Datos!T17,(Datos!J17+Datos!AD17-(Datos!T17+Datos!AL17))/(Datos!T17+Datos!AL17))
     ),IF(D_I="SI",(Datos!J17-Datos!T17)/Datos!T17,(Datos!J17+Datos!AD17-(Datos!T17+Datos!AL17))/(Datos!T17+Datos!AL17))," - ")</f>
        <v xml:space="preserve"> - </v>
      </c>
      <c r="F17" s="393" t="str">
        <f>IF(ISNUMBER(
   IF(D_I="SI",(Datos!K17-Datos!U17)/Datos!U17,(Datos!K17+Datos!AE17-(Datos!U17+Datos!AM17))/(Datos!U17+Datos!AM17))
     ),IF(D_I="SI",(Datos!K17-Datos!U17)/Datos!U17,(Datos!K17+Datos!AE17-(Datos!U17+Datos!AM17))/(Datos!U17+Datos!AM17))," - ")</f>
        <v xml:space="preserve"> - </v>
      </c>
      <c r="G17" s="394" t="str">
        <f>IF(ISNUMBER(
   IF(D_I="SI",(Datos!L17-Datos!V17)/Datos!V17,(Datos!L17+Datos!AF17-(Datos!V17+Datos!AN17))/(Datos!V17+Datos!AN17))
     ),IF(D_I="SI",(Datos!L17-Datos!V17)/Datos!V17,(Datos!L17+Datos!AF17-(Datos!V17+Datos!AN17))/(Datos!V17+Datos!AN17))," - ")</f>
        <v xml:space="preserve"> - </v>
      </c>
      <c r="H17" s="244" t="str">
        <f>IF(ISNUMBER((Datos!M17-Datos!W17)/Datos!W17),(Datos!M17-Datos!W17)/Datos!W17," - ")</f>
        <v xml:space="preserve"> - </v>
      </c>
      <c r="I17" s="395" t="str">
        <f>IF(ISNUMBER((Tasas!C17-Datos!BE17)/Datos!BE17),(Tasas!C17-Datos!BE17)/Datos!BE17," - ")</f>
        <v xml:space="preserve"> - </v>
      </c>
      <c r="J17" s="394" t="str">
        <f>IF(ISNUMBER((Tasas!D17-Datos!BF17)/Datos!BF17),(Tasas!D17-Datos!BF17)/Datos!BF17," - ")</f>
        <v xml:space="preserve"> - </v>
      </c>
      <c r="K17" s="396" t="str">
        <f>IF(ISNUMBER((Tasas!E17-Datos!BG17)/Datos!BG17),(Tasas!E17-Datos!BG17)/Datos!BG17," - ")</f>
        <v xml:space="preserve"> - </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-7.183908045977011E-2</v>
      </c>
      <c r="E18" s="393">
        <f>IF(ISNUMBER(
   IF(D_I="SI",(Datos!J18-Datos!T18)/Datos!T18,(Datos!J18+Datos!AD18-(Datos!T18+Datos!AL18))/(Datos!T18+Datos!AL18))
     ),IF(D_I="SI",(Datos!J18-Datos!T18)/Datos!T18,(Datos!J18+Datos!AD18-(Datos!T18+Datos!AL18))/(Datos!T18+Datos!AL18))," - ")</f>
        <v>0.12322274881516587</v>
      </c>
      <c r="F18" s="393">
        <f>IF(ISNUMBER(
   IF(D_I="SI",(Datos!K18-Datos!U18)/Datos!U18,(Datos!K18+Datos!AE18-(Datos!U18+Datos!AM18))/(Datos!U18+Datos!AM18))
     ),IF(D_I="SI",(Datos!K18-Datos!U18)/Datos!U18,(Datos!K18+Datos!AE18-(Datos!U18+Datos!AM18))/(Datos!U18+Datos!AM18))," - ")</f>
        <v>0.24309392265193369</v>
      </c>
      <c r="G18" s="394">
        <f>IF(ISNUMBER(
   IF(D_I="SI",(Datos!L18-Datos!V18)/Datos!V18,(Datos!L18+Datos!AF18-(Datos!V18+Datos!AN18))/(Datos!V18+Datos!AN18))
     ),IF(D_I="SI",(Datos!L18-Datos!V18)/Datos!V18,(Datos!L18+Datos!AF18-(Datos!V18+Datos!AN18))/(Datos!V18+Datos!AN18))," - ")</f>
        <v>-0.11375661375661375</v>
      </c>
      <c r="H18" s="244">
        <f>IF(ISNUMBER((Datos!M18-Datos!W18)/Datos!W18),(Datos!M18-Datos!W18)/Datos!W18," - ")</f>
        <v>0.14705882352941177</v>
      </c>
      <c r="I18" s="395">
        <f>IF(ISNUMBER((Tasas!C18-Datos!BE18)/Datos!BE18),(Tasas!C18-Datos!BE18)/Datos!BE18," - ")</f>
        <v>-0.28706643151087602</v>
      </c>
      <c r="J18" s="394">
        <f>IF(ISNUMBER((Tasas!D18-Datos!BF18)/Datos!BF18),(Tasas!D18-Datos!BF18)/Datos!BF18," - ")</f>
        <v>-7.7254901960784245E-2</v>
      </c>
      <c r="K18" s="396">
        <f>IF(ISNUMBER((Tasas!E18-Datos!BG18)/Datos!BG18),(Tasas!E18-Datos!BG18)/Datos!BG18," - ")</f>
        <v>-0.19411647783740812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-0.18303400840657241</v>
      </c>
      <c r="E23" s="399">
        <f>IF(ISNUMBER(
   IF(D_I="SI",(Datos!J23-Datos!T23)/Datos!T23,(Datos!J23+Datos!AD23-(Datos!T23+Datos!AL23))/(Datos!T23+Datos!AL23))
     ),IF(D_I="SI",(Datos!J23-Datos!T23)/Datos!T23,(Datos!J23+Datos!AD23-(Datos!T23+Datos!AL23))/(Datos!T23+Datos!AL23))," - ")</f>
        <v>0.31042796865581673</v>
      </c>
      <c r="F23" s="399">
        <f>IF(ISNUMBER(
   IF(D_I="SI",(Datos!K23-Datos!U23)/Datos!U23,(Datos!K23+Datos!AE23-(Datos!U23+Datos!AM23))/(Datos!U23+Datos!AM23))
     ),IF(D_I="SI",(Datos!K23-Datos!U23)/Datos!U23,(Datos!K23+Datos!AE23-(Datos!U23+Datos!AM23))/(Datos!U23+Datos!AM23))," - ")</f>
        <v>0.50274893097128892</v>
      </c>
      <c r="G23" s="400">
        <f>IF(ISNUMBER(
   IF(D_I="SI",(Datos!L23-Datos!V23)/Datos!V23,(Datos!L23+Datos!AF23-(Datos!V23+Datos!AN23))/(Datos!V23+Datos!AN23))
     ),IF(D_I="SI",(Datos!L23-Datos!V23)/Datos!V23,(Datos!L23+Datos!AF23-(Datos!V23+Datos!AN23))/(Datos!V23+Datos!AN23))," - ")</f>
        <v>-0.29784824462061155</v>
      </c>
      <c r="H23" s="401">
        <f>IF(ISNUMBER((Datos!M23-Datos!W23)/Datos!W23),(Datos!M23-Datos!W23)/Datos!W23," - ")</f>
        <v>-6.6666666666666666E-2</v>
      </c>
      <c r="I23" s="402">
        <f>IF(ISNUMBER((Tasas!C23-Datos!BE23)/Datos!BE23),(Tasas!C23-Datos!BE23)/Datos!BE23," - ")</f>
        <v>-0.53275511237558582</v>
      </c>
      <c r="J23" s="400">
        <f>IF(ISNUMBER((Tasas!D23-Datos!BF23)/Datos!BF23),(Tasas!D23-Datos!BF23)/Datos!BF23," - ")</f>
        <v>-0.37891598915989155</v>
      </c>
      <c r="K23" s="403">
        <f>IF(ISNUMBER((Tasas!E23-Datos!BG23)/Datos!BG23),(Tasas!E23-Datos!BG23)/Datos!BG23," - ")</f>
        <v>-0.32895039053290437</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-5.453553899291038E-2</v>
      </c>
      <c r="E31" s="409">
        <f>IF(ISNUMBER(
   IF(J_V="SI",(Datos!J31-Datos!T31)/Datos!T31,(Datos!J31+Datos!Z31-(Datos!T31+Datos!AH31))/(Datos!T31+Datos!AH31))
     ),IF(J_V="SI",(Datos!J31-Datos!T31)/Datos!T31,(Datos!J31+Datos!Z31-(Datos!T31+Datos!AH31))/(Datos!T31+Datos!AH31))," - ")</f>
        <v>0.26457253886010362</v>
      </c>
      <c r="F31" s="409">
        <f>IF(ISNUMBER(
   IF(J_V="SI",(Datos!K31-Datos!U31)/Datos!U31,(Datos!K31+Datos!AA31-(Datos!U31+Datos!AI31))/(Datos!U31+Datos!AI31))
     ),IF(J_V="SI",(Datos!K31-Datos!U31)/Datos!U31,(Datos!K31+Datos!AA31-(Datos!U31+Datos!AI31))/(Datos!U31+Datos!AI31))," - ")</f>
        <v>0.26094003241491087</v>
      </c>
      <c r="G31" s="410">
        <f>IF(ISNUMBER(
   IF(J_V="SI",(Datos!L31-Datos!V31)/Datos!V31,(Datos!L31+Datos!AB31-(Datos!V31+Datos!AJ31))/(Datos!V31+Datos!AJ31))
     ),IF(J_V="SI",(Datos!L31-Datos!V31)/Datos!V31,(Datos!L31+Datos!AB31-(Datos!V31+Datos!AJ31))/(Datos!V31+Datos!AJ31))," - ")</f>
        <v>-5.3794602427096543E-2</v>
      </c>
      <c r="H31" s="411">
        <f>IF(ISNUMBER((Datos!M31-Datos!W31)/Datos!W31),(Datos!M31-Datos!W31)/Datos!W31," - ")</f>
        <v>-0.16606498194945848</v>
      </c>
      <c r="I31" s="408">
        <f>IF(ISNUMBER((Tasas!C31-Datos!BE31)/Datos!BE31),(Tasas!C31-Datos!BE31)/Datos!BE31," - ")</f>
        <v>-0.24960317441840435</v>
      </c>
      <c r="J31" s="409">
        <f>IF(ISNUMBER((Tasas!D31-Datos!BF31)/Datos!BF31),(Tasas!D31-Datos!BF31)/Datos!BF31," - ")</f>
        <v>-0.52354575267181702</v>
      </c>
      <c r="K31" s="410">
        <f>IF(ISNUMBER((Tasas!E31-Datos!BG31)/Datos!BG31),(Tasas!E31-Datos!BG31)/Datos!BG31," - ")</f>
        <v>-0.15920405157430692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0.27409817388342483</v>
      </c>
      <c r="E33" s="303">
        <f t="shared" si="1"/>
        <v>0.20103661286537866</v>
      </c>
      <c r="F33" s="303">
        <f t="shared" si="1"/>
        <v>0.56841331529970363</v>
      </c>
      <c r="G33" s="304">
        <f t="shared" si="1"/>
        <v>0.26335631183011776</v>
      </c>
      <c r="H33" s="310">
        <f t="shared" si="1"/>
        <v>0.27923747328849735</v>
      </c>
      <c r="I33" s="302">
        <f t="shared" si="1"/>
        <v>0.35973900186767649</v>
      </c>
      <c r="J33" s="303">
        <f t="shared" si="1"/>
        <v>0.15676994051854501</v>
      </c>
      <c r="K33" s="304">
        <f t="shared" si="1"/>
        <v>0.24939405657630345</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KA/o+plSB8u5J2ZmsuVdSng/iepL3Sz3IXANSXaLZhlJZq5qXHmzCE5XDHFq6SqaB0kYYsAPgD0vriJCNuDwgQ==" saltValue="ppT8oanlWfq0cYr72pkDtg=="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2023-05-05T16:55:17Z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